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528"/>
  <workbookPr defaultThemeVersion="166925"/>
  <mc:AlternateContent xmlns:mc="http://schemas.openxmlformats.org/markup-compatibility/2006">
    <mc:Choice Requires="x15">
      <x15ac:absPath xmlns:x15ac="http://schemas.microsoft.com/office/spreadsheetml/2010/11/ac" url="C:\Users\user\Desktop\"/>
    </mc:Choice>
  </mc:AlternateContent>
  <bookViews>
    <workbookView xWindow="0" yWindow="0" windowWidth="20100" windowHeight="12090" xr2:uid="{00000000-000D-0000-FFFF-FFFF00000000}"/>
  </bookViews>
  <sheets>
    <sheet name="Title" sheetId="13" r:id="rId1"/>
    <sheet name="Description" sheetId="11" r:id="rId2"/>
    <sheet name="Step-by-Step User Guide" sheetId="14" r:id="rId3"/>
    <sheet name="I. Current &amp; Projected Spending" sheetId="6" r:id="rId4"/>
    <sheet name="II. Savings" sheetId="7" r:id="rId5"/>
    <sheet name="III. Added Costs &amp; Net Savings" sheetId="8" r:id="rId6"/>
    <sheet name="IV(A). Financing by Income Tax" sheetId="9" r:id="rId7"/>
    <sheet name="IV(B). Financing by Payroll Tax" sheetId="12" r:id="rId8"/>
    <sheet name="V. Summary" sheetId="10" r:id="rId9"/>
  </sheets>
  <calcPr calcId="171026"/>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7" i="12" l="1"/>
  <c r="N16" i="12"/>
  <c r="N15" i="12"/>
  <c r="N14" i="12"/>
  <c r="N13" i="12"/>
  <c r="N12" i="12"/>
  <c r="N11" i="12"/>
  <c r="N10" i="12"/>
  <c r="N9" i="12"/>
  <c r="P18" i="9"/>
  <c r="P19" i="9" s="1"/>
  <c r="P16" i="9"/>
  <c r="P17" i="9"/>
  <c r="P15" i="9"/>
  <c r="P14" i="9"/>
  <c r="P13" i="9"/>
  <c r="P12" i="9"/>
  <c r="P11" i="9"/>
  <c r="P10" i="9"/>
  <c r="P9" i="9"/>
  <c r="P8" i="9"/>
  <c r="P7" i="9"/>
  <c r="J56" i="8" l="1"/>
  <c r="J54" i="8"/>
  <c r="J47" i="8"/>
  <c r="J46" i="8"/>
  <c r="J30" i="8"/>
  <c r="J14" i="8"/>
  <c r="D4" i="8" l="1"/>
  <c r="B14" i="9" l="1"/>
  <c r="B14" i="12"/>
  <c r="A17" i="10" l="1"/>
  <c r="A23" i="8"/>
  <c r="D23" i="8"/>
  <c r="A1" i="12" l="1"/>
  <c r="A1" i="9"/>
  <c r="A1" i="10"/>
  <c r="C3" i="10"/>
  <c r="B24" i="12"/>
  <c r="AI6" i="6"/>
  <c r="C3" i="7"/>
  <c r="C17" i="6"/>
  <c r="C16" i="6"/>
  <c r="C15" i="6"/>
  <c r="B17" i="6"/>
  <c r="B16" i="6"/>
  <c r="B15" i="6"/>
  <c r="C12" i="6"/>
  <c r="C11" i="6"/>
  <c r="C10" i="6"/>
  <c r="C9" i="6"/>
  <c r="C8" i="6"/>
  <c r="C7" i="6"/>
  <c r="C6" i="6"/>
  <c r="B12" i="6"/>
  <c r="B9" i="6"/>
  <c r="B11" i="6"/>
  <c r="B10" i="6"/>
  <c r="D10" i="6" s="1"/>
  <c r="B8" i="6"/>
  <c r="B7" i="6"/>
  <c r="B6" i="6"/>
  <c r="K17" i="12"/>
  <c r="K16" i="12"/>
  <c r="K15" i="12"/>
  <c r="K14" i="12"/>
  <c r="K13" i="12"/>
  <c r="K12" i="12"/>
  <c r="K11" i="12"/>
  <c r="K10" i="12"/>
  <c r="K9" i="12"/>
  <c r="K8" i="12"/>
  <c r="K7" i="12"/>
  <c r="K6" i="12"/>
  <c r="S17" i="12"/>
  <c r="D22" i="12"/>
  <c r="B6" i="12"/>
  <c r="A25" i="12"/>
  <c r="I5" i="12"/>
  <c r="S11" i="12"/>
  <c r="D17" i="8"/>
  <c r="D19" i="8"/>
  <c r="M7" i="9"/>
  <c r="A1" i="8"/>
  <c r="E23" i="8" s="1"/>
  <c r="C17" i="10" s="1"/>
  <c r="A1" i="7"/>
  <c r="A25" i="9"/>
  <c r="B24" i="9"/>
  <c r="D22" i="9"/>
  <c r="M16" i="9"/>
  <c r="M15" i="9"/>
  <c r="M14" i="9"/>
  <c r="M13" i="9"/>
  <c r="M12" i="9"/>
  <c r="M11" i="9"/>
  <c r="M10" i="9"/>
  <c r="M9" i="9"/>
  <c r="M8" i="9"/>
  <c r="K6" i="9"/>
  <c r="I6" i="9"/>
  <c r="J6" i="9"/>
  <c r="E4" i="8"/>
  <c r="B7" i="9"/>
  <c r="D6" i="6" l="1"/>
  <c r="C11" i="7" s="1"/>
  <c r="E11" i="7" s="1"/>
  <c r="B19" i="6"/>
  <c r="B18" i="6" s="1"/>
  <c r="B20" i="6"/>
  <c r="B23" i="12"/>
  <c r="B25" i="12" s="1"/>
  <c r="C23" i="12"/>
  <c r="C24" i="12" s="1"/>
  <c r="D24" i="12" s="1"/>
  <c r="C23" i="9"/>
  <c r="C24" i="9" s="1"/>
  <c r="D24" i="9" s="1"/>
  <c r="B23" i="9"/>
  <c r="B25" i="9" s="1"/>
  <c r="D15" i="6"/>
  <c r="B11" i="9" s="1"/>
  <c r="B13" i="8"/>
  <c r="E13" i="8" s="1"/>
  <c r="D17" i="6"/>
  <c r="C8" i="7" s="1"/>
  <c r="E8" i="7" s="1"/>
  <c r="D11" i="6"/>
  <c r="D12" i="6"/>
  <c r="D19" i="6" s="1"/>
  <c r="D8" i="6"/>
  <c r="C13" i="7" s="1"/>
  <c r="E13" i="7" s="1"/>
  <c r="G13" i="9"/>
  <c r="I13" i="9" s="1"/>
  <c r="O13" i="9" s="1"/>
  <c r="G14" i="9"/>
  <c r="I14" i="9" s="1"/>
  <c r="O14" i="9" s="1"/>
  <c r="D7" i="6"/>
  <c r="C12" i="7" s="1"/>
  <c r="E12" i="7" s="1"/>
  <c r="H16" i="9"/>
  <c r="J16" i="9" s="1"/>
  <c r="D16" i="6"/>
  <c r="B12" i="9" s="1"/>
  <c r="H15" i="9"/>
  <c r="J15" i="9" s="1"/>
  <c r="D9" i="6"/>
  <c r="C16" i="7" s="1"/>
  <c r="E16" i="7" s="1"/>
  <c r="C12" i="10" s="1"/>
  <c r="H8" i="9"/>
  <c r="J8" i="9" s="1"/>
  <c r="B11" i="12"/>
  <c r="V7" i="12"/>
  <c r="S19" i="12" s="1"/>
  <c r="R10" i="12" s="1"/>
  <c r="S10" i="12" s="1"/>
  <c r="G8" i="9"/>
  <c r="I8" i="9" s="1"/>
  <c r="O8" i="9" s="1"/>
  <c r="H7" i="9"/>
  <c r="H12" i="9"/>
  <c r="J12" i="9" s="1"/>
  <c r="G10" i="9"/>
  <c r="I10" i="9" s="1"/>
  <c r="H9" i="9"/>
  <c r="J9" i="9" s="1"/>
  <c r="G15" i="9"/>
  <c r="I15" i="9" s="1"/>
  <c r="O15" i="9" s="1"/>
  <c r="G16" i="9"/>
  <c r="I16" i="9" s="1"/>
  <c r="H10" i="9"/>
  <c r="J10" i="9" s="1"/>
  <c r="C5" i="8"/>
  <c r="G7" i="9"/>
  <c r="I7" i="9" s="1"/>
  <c r="G9" i="9"/>
  <c r="I9" i="9" s="1"/>
  <c r="O9" i="9" s="1"/>
  <c r="H11" i="9"/>
  <c r="J11" i="9" s="1"/>
  <c r="H14" i="9"/>
  <c r="J14" i="9" s="1"/>
  <c r="G11" i="9"/>
  <c r="I11" i="9" s="1"/>
  <c r="G12" i="9"/>
  <c r="I12" i="9" s="1"/>
  <c r="H13" i="9"/>
  <c r="J13" i="9" s="1"/>
  <c r="E5" i="8" l="1"/>
  <c r="C5" i="10" s="1"/>
  <c r="B5" i="10" s="1"/>
  <c r="K14" i="9"/>
  <c r="N14" i="9" s="1"/>
  <c r="E14" i="7"/>
  <c r="C11" i="10" s="1"/>
  <c r="B11" i="10" s="1"/>
  <c r="D26" i="6"/>
  <c r="D24" i="6"/>
  <c r="K11" i="9"/>
  <c r="N11" i="9" s="1"/>
  <c r="K13" i="9"/>
  <c r="N13" i="9" s="1"/>
  <c r="D18" i="6"/>
  <c r="D20" i="6" s="1"/>
  <c r="E10" i="8" s="1"/>
  <c r="C7" i="10" s="1"/>
  <c r="B7" i="10" s="1"/>
  <c r="E8" i="8"/>
  <c r="C6" i="10" s="1"/>
  <c r="B6" i="10" s="1"/>
  <c r="B12" i="10"/>
  <c r="C18" i="7"/>
  <c r="E18" i="7" s="1"/>
  <c r="C13" i="10" s="1"/>
  <c r="B13" i="10" s="1"/>
  <c r="D23" i="12"/>
  <c r="K10" i="9"/>
  <c r="N10" i="9" s="1"/>
  <c r="R7" i="12"/>
  <c r="S7" i="12" s="1"/>
  <c r="R12" i="12"/>
  <c r="S12" i="12" s="1"/>
  <c r="R16" i="12"/>
  <c r="S16" i="12" s="1"/>
  <c r="K8" i="9"/>
  <c r="N8" i="9" s="1"/>
  <c r="C25" i="9"/>
  <c r="D25" i="9" s="1"/>
  <c r="C9" i="9" s="1"/>
  <c r="R14" i="12"/>
  <c r="S14" i="12" s="1"/>
  <c r="D14" i="7"/>
  <c r="O10" i="9"/>
  <c r="K15" i="9"/>
  <c r="N15" i="9" s="1"/>
  <c r="R8" i="12"/>
  <c r="S8" i="12" s="1"/>
  <c r="R13" i="12"/>
  <c r="S13" i="12" s="1"/>
  <c r="R15" i="12"/>
  <c r="S15" i="12" s="1"/>
  <c r="B12" i="12"/>
  <c r="O11" i="9"/>
  <c r="D23" i="9"/>
  <c r="O12" i="9"/>
  <c r="K12" i="9"/>
  <c r="N12" i="9" s="1"/>
  <c r="I17" i="9"/>
  <c r="O7" i="9"/>
  <c r="K9" i="9"/>
  <c r="N9" i="9" s="1"/>
  <c r="O16" i="9"/>
  <c r="K16" i="9"/>
  <c r="N16" i="9" s="1"/>
  <c r="J7" i="9"/>
  <c r="J17" i="9" s="1"/>
  <c r="H17" i="9"/>
  <c r="G17" i="9"/>
  <c r="R17" i="12"/>
  <c r="R9" i="12"/>
  <c r="S9" i="12" s="1"/>
  <c r="R6" i="12"/>
  <c r="S6" i="12" s="1"/>
  <c r="C25" i="12"/>
  <c r="D25" i="12" s="1"/>
  <c r="D27" i="6" l="1"/>
  <c r="C7" i="7" s="1"/>
  <c r="B8" i="10"/>
  <c r="E15" i="8"/>
  <c r="A7" i="10"/>
  <c r="B13" i="9"/>
  <c r="C15" i="9" s="1"/>
  <c r="B13" i="12"/>
  <c r="C15" i="12" s="1"/>
  <c r="C8" i="12"/>
  <c r="O17" i="9"/>
  <c r="C8" i="10"/>
  <c r="K7" i="9"/>
  <c r="N7" i="9" s="1"/>
  <c r="N17" i="9" s="1"/>
  <c r="R18" i="12"/>
  <c r="S21" i="12" s="1"/>
  <c r="H10" i="12" s="1"/>
  <c r="S18" i="12"/>
  <c r="E7" i="7" l="1"/>
  <c r="D7" i="7" s="1"/>
  <c r="S20" i="12"/>
  <c r="H14" i="12"/>
  <c r="I14" i="12" s="1"/>
  <c r="L14" i="12" s="1"/>
  <c r="H12" i="12"/>
  <c r="I12" i="12" s="1"/>
  <c r="L12" i="12" s="1"/>
  <c r="H6" i="12"/>
  <c r="I6" i="12" s="1"/>
  <c r="L6" i="12" s="1"/>
  <c r="H15" i="12"/>
  <c r="I15" i="12" s="1"/>
  <c r="L15" i="12" s="1"/>
  <c r="H17" i="12"/>
  <c r="I17" i="12" s="1"/>
  <c r="L17" i="12" s="1"/>
  <c r="H8" i="12"/>
  <c r="I8" i="12" s="1"/>
  <c r="L8" i="12" s="1"/>
  <c r="H9" i="12"/>
  <c r="I9" i="12" s="1"/>
  <c r="L9" i="12" s="1"/>
  <c r="H7" i="12"/>
  <c r="I7" i="12" s="1"/>
  <c r="L7" i="12" s="1"/>
  <c r="H16" i="12"/>
  <c r="I16" i="12" s="1"/>
  <c r="L16" i="12" s="1"/>
  <c r="H11" i="12"/>
  <c r="I11" i="12" s="1"/>
  <c r="L11" i="12" s="1"/>
  <c r="H13" i="12"/>
  <c r="I13" i="12" s="1"/>
  <c r="L13" i="12" s="1"/>
  <c r="I10" i="12"/>
  <c r="L10" i="12" s="1"/>
  <c r="E20" i="7" l="1"/>
  <c r="E17" i="8" s="1"/>
  <c r="C7" i="12" s="1"/>
  <c r="C9" i="12" s="1"/>
  <c r="C10" i="10"/>
  <c r="H18" i="12"/>
  <c r="I18" i="12" s="1"/>
  <c r="L18" i="12"/>
  <c r="C16" i="12" l="1"/>
  <c r="L20" i="12" s="1"/>
  <c r="C8" i="9"/>
  <c r="C10" i="9" s="1"/>
  <c r="E19" i="8"/>
  <c r="E20" i="8" s="1"/>
  <c r="C14" i="10"/>
  <c r="C15" i="10" s="1"/>
  <c r="B10" i="10"/>
  <c r="B14" i="10" s="1"/>
  <c r="B15" i="10" s="1"/>
  <c r="C16" i="9" l="1"/>
  <c r="A18" i="10"/>
  <c r="C18" i="10"/>
  <c r="N19" i="9" l="1"/>
  <c r="O18" i="9"/>
  <c r="O19" i="9"/>
  <c r="N18" i="9"/>
  <c r="F11" i="9" l="1"/>
  <c r="F14" i="9"/>
  <c r="F15" i="9"/>
  <c r="F13" i="9"/>
  <c r="F7" i="9"/>
  <c r="F16" i="9"/>
  <c r="F10" i="9"/>
  <c r="F12" i="9"/>
  <c r="F8" i="9"/>
  <c r="F9" i="9"/>
  <c r="N18" i="12" l="1"/>
  <c r="L19" i="12" s="1"/>
  <c r="F6" i="12" s="1"/>
  <c r="J13" i="8"/>
  <c r="F13" i="12" l="1"/>
  <c r="G8" i="12"/>
  <c r="G15" i="12"/>
  <c r="F12" i="12"/>
  <c r="G13" i="12"/>
  <c r="G12" i="12"/>
  <c r="G6" i="12"/>
  <c r="F15" i="12"/>
  <c r="F7" i="12"/>
  <c r="G11" i="12"/>
  <c r="G7" i="12"/>
  <c r="F17" i="12"/>
  <c r="G10" i="12"/>
  <c r="F16" i="12"/>
  <c r="F11" i="12"/>
  <c r="F10" i="12"/>
  <c r="F14" i="12"/>
  <c r="F8" i="12"/>
  <c r="G16" i="12"/>
  <c r="G17" i="12"/>
  <c r="F9" i="12"/>
  <c r="G9" i="12"/>
  <c r="G14" i="12"/>
</calcChain>
</file>

<file path=xl/sharedStrings.xml><?xml version="1.0" encoding="utf-8"?>
<sst xmlns="http://schemas.openxmlformats.org/spreadsheetml/2006/main" count="668" uniqueCount="355">
  <si>
    <t>Millions of Dollars</t>
  </si>
  <si>
    <t>Savings</t>
  </si>
  <si>
    <t>Net Savings</t>
  </si>
  <si>
    <t>Total Savings</t>
  </si>
  <si>
    <t>Medicare</t>
  </si>
  <si>
    <t>Income Range</t>
  </si>
  <si>
    <t>Centroid</t>
  </si>
  <si>
    <t>$1 under $10,000</t>
  </si>
  <si>
    <t>$10,000 under $25,000</t>
  </si>
  <si>
    <t>$25,000 under $50,000</t>
  </si>
  <si>
    <t>$50,000 under $75,000</t>
  </si>
  <si>
    <t>$75,000 under $100,000</t>
  </si>
  <si>
    <t>$100,000 under $200,000</t>
  </si>
  <si>
    <t>$200,000 under $500,000</t>
  </si>
  <si>
    <t>$500,000 under $1,000,000</t>
  </si>
  <si>
    <t>$1,000,000 or more</t>
  </si>
  <si>
    <t>Total</t>
  </si>
  <si>
    <t>Under 1$</t>
  </si>
  <si>
    <t>Percent Growth</t>
  </si>
  <si>
    <t>Home Health Care</t>
  </si>
  <si>
    <t>Nursing Homes</t>
  </si>
  <si>
    <t>Medicaid</t>
  </si>
  <si>
    <t>Hospitals</t>
  </si>
  <si>
    <t>Administrative Costs</t>
  </si>
  <si>
    <t>Government Programs</t>
  </si>
  <si>
    <t>Other insurance payors</t>
  </si>
  <si>
    <t>Total Personal Health care</t>
  </si>
  <si>
    <t>Additional Cost to Cover the Uninsured</t>
  </si>
  <si>
    <t>Total Additional Costs</t>
  </si>
  <si>
    <t>Percent Net Savings</t>
  </si>
  <si>
    <t>Percent Savings</t>
  </si>
  <si>
    <t>Additional Costs and Net Savings</t>
  </si>
  <si>
    <t xml:space="preserve">        Hospitals</t>
  </si>
  <si>
    <t xml:space="preserve">   Aliya Jiwani et al., “Billing and Insurance‐Related Administrative Costs in United States’ Health Care: Synthesis of Micro-Costing Evidence,” BMC Health  Services Research 14, no. 556 (2015) http://www.biomedcentral.com/content/pdf/s12913‐014‐0556‐7.pdf</t>
  </si>
  <si>
    <t xml:space="preserve">   J. Kahn et al., “The Cost Of Health Insurance Administration In California: Estimates For Insurers, Physicians, And Hospitals,” Health Affairs 24, no. 6 (November  2005): 1629–39, doi:10.1377/hlthaff.24.6.1629”.</t>
  </si>
  <si>
    <t>&lt;--When the program will go into effect.</t>
  </si>
  <si>
    <r>
      <t>Spending by Health Care Service</t>
    </r>
    <r>
      <rPr>
        <b/>
        <vertAlign val="superscript"/>
        <sz val="12"/>
        <color theme="1"/>
        <rFont val="Times New Roman"/>
        <family val="1"/>
      </rPr>
      <t>1</t>
    </r>
  </si>
  <si>
    <r>
      <t>Spending by Source of Funds</t>
    </r>
    <r>
      <rPr>
        <b/>
        <vertAlign val="superscript"/>
        <sz val="12"/>
        <color theme="1"/>
        <rFont val="Times New Roman"/>
        <family val="1"/>
      </rPr>
      <t>2</t>
    </r>
  </si>
  <si>
    <t xml:space="preserve">   Steffie Woolhandler, Terry Campbell, and David Himmelstein, “Cost of Health Care Administration in the United States and Canada,” New England Journal of Medicine, no. 349 (2003): 768–75.</t>
  </si>
  <si>
    <r>
      <rPr>
        <vertAlign val="superscript"/>
        <sz val="12"/>
        <color theme="1"/>
        <rFont val="Times New Roman"/>
        <family val="1"/>
      </rPr>
      <t>1</t>
    </r>
    <r>
      <rPr>
        <sz val="12"/>
        <color theme="1"/>
        <rFont val="Times New Roman"/>
        <family val="1"/>
      </rPr>
      <t>Savings from eliminating private insurance can be based on the following studies:</t>
    </r>
  </si>
  <si>
    <t>Total Provider Savings</t>
  </si>
  <si>
    <t>Paying for Medicare Part B Premiums</t>
  </si>
  <si>
    <t>Medicare Part B Premiums per Recipient per year</t>
  </si>
  <si>
    <r>
      <t>Savings through Reduced Provider Administrative Costs</t>
    </r>
    <r>
      <rPr>
        <b/>
        <vertAlign val="superscript"/>
        <sz val="12"/>
        <color theme="1"/>
        <rFont val="Times New Roman"/>
        <family val="1"/>
      </rPr>
      <t>3</t>
    </r>
  </si>
  <si>
    <r>
      <rPr>
        <vertAlign val="superscript"/>
        <sz val="12"/>
        <color theme="1"/>
        <rFont val="Times New Roman"/>
        <family val="1"/>
      </rPr>
      <t>3</t>
    </r>
    <r>
      <rPr>
        <sz val="12"/>
        <color theme="1"/>
        <rFont val="Times New Roman"/>
        <family val="1"/>
      </rPr>
      <t>Provider savings in administration costs can be based on the studies cited in Note 1, along with David U. Himmelstein et al., “A Comparison Of Hospital Administrative Costs In Eight Nations: US Costs Exceed  All Others By Far,” Health Affairs  33, no. 9 (September 1, 2014): 1586–94, doi:10.1377/hlthaff.2013.1327.</t>
    </r>
  </si>
  <si>
    <t>Support for Displaced Workers</t>
  </si>
  <si>
    <t>Total Cost with Health Plan</t>
  </si>
  <si>
    <t>Medicare Part B Premiums</t>
  </si>
  <si>
    <t>Existing Public Funds</t>
  </si>
  <si>
    <t>Total Funding Needs</t>
  </si>
  <si>
    <t>2015</t>
  </si>
  <si>
    <t>Curve Factor B =</t>
  </si>
  <si>
    <t>Curve Factor A =</t>
  </si>
  <si>
    <t>Rate Factor =</t>
  </si>
  <si>
    <t>Covering Everyone while Saving Money!</t>
  </si>
  <si>
    <t>Added Costs</t>
  </si>
  <si>
    <t xml:space="preserve">  Eliminating Deductibles and Copays</t>
  </si>
  <si>
    <t xml:space="preserve">  Covering the Uninsured and Poorly-Insured</t>
  </si>
  <si>
    <t>Total Costs</t>
  </si>
  <si>
    <t xml:space="preserve">  Reduced Physician &amp; Hospital Admin Costs</t>
  </si>
  <si>
    <t xml:space="preserve">  Reduced Insurance Administrative Costs</t>
  </si>
  <si>
    <t xml:space="preserve">  Bulk Purchasing of Drugs</t>
  </si>
  <si>
    <t xml:space="preserve">  Reduce fraud</t>
  </si>
  <si>
    <t>MAINE</t>
  </si>
  <si>
    <r>
      <t>Private Health Insurance</t>
    </r>
    <r>
      <rPr>
        <vertAlign val="superscript"/>
        <sz val="12"/>
        <color theme="1"/>
        <rFont val="Times New Roman"/>
        <family val="1"/>
      </rPr>
      <t>3</t>
    </r>
  </si>
  <si>
    <r>
      <t>Other insurance payors</t>
    </r>
    <r>
      <rPr>
        <vertAlign val="superscript"/>
        <sz val="12"/>
        <color theme="1"/>
        <rFont val="Times New Roman"/>
        <family val="1"/>
      </rPr>
      <t>4</t>
    </r>
  </si>
  <si>
    <r>
      <rPr>
        <vertAlign val="superscript"/>
        <sz val="12"/>
        <color rgb="FF000000"/>
        <rFont val="Times New Roman"/>
        <family val="1"/>
      </rPr>
      <t>3</t>
    </r>
    <r>
      <rPr>
        <sz val="12"/>
        <color rgb="FF000000"/>
        <rFont val="Times New Roman"/>
        <family val="1"/>
      </rPr>
      <t>Note that private insurance includes insurance obtained through the ACA marketplaces.</t>
    </r>
  </si>
  <si>
    <r>
      <rPr>
        <vertAlign val="superscript"/>
        <sz val="12"/>
        <color theme="1"/>
        <rFont val="Times New Roman"/>
        <family val="1"/>
      </rPr>
      <t>4</t>
    </r>
    <r>
      <rPr>
        <sz val="12"/>
        <color theme="1"/>
        <rFont val="Times New Roman"/>
        <family val="1"/>
      </rPr>
      <t xml:space="preserve">Other payers include the </t>
    </r>
    <r>
      <rPr>
        <sz val="12"/>
        <color rgb="FF000000"/>
        <rFont val="Times New Roman"/>
        <family val="1"/>
      </rPr>
      <t>Children's Health Insurance Program (CHIP), Department of Defense, and Department of Veterans' Affairs programs, worksite health care, other private revenues, Indian Health Service, workers' compensation, general assistance, maternal and child health, vocational rehabilitation, other federal programs, Substance Abuse and Mental Health Services Administration, other state and local programs, and school health programs.</t>
    </r>
  </si>
  <si>
    <t>II. Savings from implementing a universal single payer plan</t>
  </si>
  <si>
    <t>III. Additional costs resulting from the universal coverage plan, and the net savings that the plan will achieve</t>
  </si>
  <si>
    <t>Please send questions, comments, and suggestions to lrodberg@gmail.com</t>
  </si>
  <si>
    <t>Funds Needed=</t>
  </si>
  <si>
    <t>Thousands of Dollars</t>
  </si>
  <si>
    <r>
      <t>Salaries &amp; Wages</t>
    </r>
    <r>
      <rPr>
        <b/>
        <vertAlign val="superscript"/>
        <sz val="12"/>
        <color theme="1"/>
        <rFont val="Times New Roman"/>
        <family val="1"/>
      </rPr>
      <t>1</t>
    </r>
  </si>
  <si>
    <r>
      <t>Non-Payroll Income</t>
    </r>
    <r>
      <rPr>
        <b/>
        <vertAlign val="superscript"/>
        <sz val="12"/>
        <color theme="1"/>
        <rFont val="Times New Roman"/>
        <family val="1"/>
      </rPr>
      <t>1</t>
    </r>
  </si>
  <si>
    <t>Salaries &amp; Wages</t>
  </si>
  <si>
    <t>Non-Payroll Income</t>
  </si>
  <si>
    <t xml:space="preserve">Total Income </t>
  </si>
  <si>
    <t>Sigmoid Rate Curve</t>
  </si>
  <si>
    <r>
      <t>Current Spending on the Uninsured Compared to Spending on the Insured</t>
    </r>
    <r>
      <rPr>
        <b/>
        <vertAlign val="superscript"/>
        <sz val="12"/>
        <color theme="1"/>
        <rFont val="Times New Roman"/>
        <family val="1"/>
      </rPr>
      <t>1</t>
    </r>
  </si>
  <si>
    <r>
      <t>Uninsured in 2015</t>
    </r>
    <r>
      <rPr>
        <b/>
        <vertAlign val="superscript"/>
        <sz val="12"/>
        <color theme="1"/>
        <rFont val="Times New Roman"/>
        <family val="1"/>
      </rPr>
      <t>2</t>
    </r>
  </si>
  <si>
    <r>
      <rPr>
        <vertAlign val="superscript"/>
        <sz val="12"/>
        <color theme="1"/>
        <rFont val="Times New Roman"/>
        <family val="1"/>
      </rPr>
      <t>1</t>
    </r>
    <r>
      <rPr>
        <sz val="12"/>
        <color theme="1"/>
        <rFont val="Times New Roman"/>
        <family val="1"/>
      </rPr>
      <t>For estimates of current spending by the uninsured, see J. Hadley et al - Cost of Covering the Uninsured - Health Aff-2008-w399-415.pdf</t>
    </r>
  </si>
  <si>
    <r>
      <rPr>
        <vertAlign val="superscript"/>
        <sz val="12"/>
        <rFont val="Times New Roman"/>
        <family val="1"/>
      </rPr>
      <t>2</t>
    </r>
    <r>
      <rPr>
        <sz val="12"/>
        <rFont val="Times New Roman"/>
        <family val="1"/>
      </rPr>
      <t>Insurance Coverage 2015 - KFF.xlsx</t>
    </r>
    <r>
      <rPr>
        <sz val="12"/>
        <color theme="10"/>
        <rFont val="Times New Roman"/>
        <family val="1"/>
      </rPr>
      <t xml:space="preserve"> </t>
    </r>
    <r>
      <rPr>
        <u/>
        <sz val="12"/>
        <color theme="10"/>
        <rFont val="Times New Roman"/>
        <family val="1"/>
      </rPr>
      <t>http://www.kff.org/other/state-indicator/total-population/?currentTimeframe=0&amp;sortModel=%7B%22colId%22:%22Location%22,%22sort%22:%22asc%22%7D</t>
    </r>
  </si>
  <si>
    <r>
      <rPr>
        <vertAlign val="superscript"/>
        <sz val="12"/>
        <rFont val="Times New Roman"/>
        <family val="1"/>
      </rPr>
      <t>3</t>
    </r>
    <r>
      <rPr>
        <sz val="12"/>
        <rFont val="Times New Roman"/>
        <family val="1"/>
      </rPr>
      <t>For some insight into the likely increase in utilization, and the constraints, see "Response to Urban Institute Study of Sanders Single Payer Plan - D Himmelstein &amp; S Woolhandler - Huff Post.pdf"</t>
    </r>
    <r>
      <rPr>
        <u/>
        <sz val="12"/>
        <color theme="10"/>
        <rFont val="Times New Roman"/>
        <family val="1"/>
      </rPr>
      <t>http://www.huffingtonpost.com/steffie-woolhandler/urban-institute-errors-single-payer-costs_b_10100836.html</t>
    </r>
  </si>
  <si>
    <r>
      <rPr>
        <vertAlign val="superscript"/>
        <sz val="12"/>
        <rFont val="Times New Roman"/>
        <family val="1"/>
      </rPr>
      <t>1</t>
    </r>
    <r>
      <rPr>
        <sz val="12"/>
        <rFont val="Times New Roman"/>
        <family val="1"/>
      </rPr>
      <t xml:space="preserve">This data for 2014, and the average growth rate over the previous two decades, come from the Historic Trend tables.This section comes from the table US_AGGREGATE14.CSV contained within that source. </t>
    </r>
    <r>
      <rPr>
        <sz val="12"/>
        <color theme="10"/>
        <rFont val="Times New Roman"/>
        <family val="1"/>
      </rPr>
      <t xml:space="preserve"> </t>
    </r>
    <r>
      <rPr>
        <u/>
        <sz val="12"/>
        <color theme="10"/>
        <rFont val="Times New Roman"/>
        <family val="1"/>
      </rPr>
      <t>http://www.cms.gov/Research-Statistics-Data-and-Systems/Statistics-Trends-and-Reports/NationalHealthExpendData/Downloads/resident-state-estimates.zip</t>
    </r>
  </si>
  <si>
    <r>
      <rPr>
        <vertAlign val="superscript"/>
        <sz val="12"/>
        <rFont val="Times New Roman"/>
        <family val="1"/>
      </rPr>
      <t>5</t>
    </r>
    <r>
      <rPr>
        <sz val="12"/>
        <rFont val="Times New Roman"/>
        <family val="1"/>
      </rPr>
      <t xml:space="preserve">For insight into the waste and fraud issue, see, for instance,  Kathleen King and General Accounting Office, “Medicare and Medicaid Fraud, Waste, and Abuse” (United States Senate, Subcommittee on Federal Financial Management, March 9, 2011), </t>
    </r>
    <r>
      <rPr>
        <u/>
        <sz val="12"/>
        <color theme="10"/>
        <rFont val="Times New Roman"/>
        <family val="1"/>
      </rPr>
      <t>http://www.gao.gov/new.items/d11409t.pdf</t>
    </r>
  </si>
  <si>
    <r>
      <rPr>
        <vertAlign val="superscript"/>
        <sz val="12"/>
        <rFont val="Times New Roman"/>
        <family val="1"/>
      </rPr>
      <t xml:space="preserve">1 </t>
    </r>
    <r>
      <rPr>
        <sz val="12"/>
        <rFont val="Times New Roman"/>
        <family val="1"/>
      </rPr>
      <t xml:space="preserve">IRS Statistics of Income (SOI) Bulletin </t>
    </r>
    <r>
      <rPr>
        <u/>
        <sz val="12"/>
        <color theme="10"/>
        <rFont val="Times New Roman"/>
        <family val="1"/>
      </rPr>
      <t>https://www.irs.gov/uac/soi-tax-stats-historic-table-2</t>
    </r>
  </si>
  <si>
    <t>Notes:</t>
  </si>
  <si>
    <t>Earnings Centroid</t>
  </si>
  <si>
    <t>Rotation Factor</t>
  </si>
  <si>
    <t>National Data</t>
  </si>
  <si>
    <t>$10,000 under  $20,000</t>
  </si>
  <si>
    <t>$20,000 under  $30,000</t>
  </si>
  <si>
    <t>$30,000 under  $40,000</t>
  </si>
  <si>
    <t>$40,000 under  $50,000</t>
  </si>
  <si>
    <t>$50,000 under  $60,000</t>
  </si>
  <si>
    <t>$60,000 under  $70,000</t>
  </si>
  <si>
    <t>$70,000 under  $80,000</t>
  </si>
  <si>
    <t>$80,000 under  $90,000</t>
  </si>
  <si>
    <t>$90,000 under  $100,000</t>
  </si>
  <si>
    <t>$100,000 under $117,000 </t>
  </si>
  <si>
    <t>$117,000 &amp; above</t>
  </si>
  <si>
    <r>
      <t>State or area </t>
    </r>
    <r>
      <rPr>
        <vertAlign val="superscript"/>
        <sz val="12"/>
        <color theme="1"/>
        <rFont val="Times New Roman"/>
        <family val="1"/>
      </rPr>
      <t>a</t>
    </r>
  </si>
  <si>
    <t>Total OASDI taxable earnings per person</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</si>
  <si>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</si>
  <si>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</si>
  <si>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</si>
  <si>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</si>
  <si>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</si>
  <si>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</si>
  <si>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</si>
  <si>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</si>
  <si>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</si>
  <si>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</si>
  <si>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</si>
  <si>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</si>
  <si>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</si>
  <si>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</si>
  <si>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</si>
  <si>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</si>
  <si>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</si>
  <si>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</si>
  <si>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</si>
  <si>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</si>
  <si>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</si>
  <si>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</si>
  <si>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</si>
  <si>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</si>
  <si>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</si>
  <si>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</si>
  <si>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</si>
  <si>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</si>
  <si>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</si>
  <si>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</si>
  <si>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</si>
  <si>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</si>
  <si>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</si>
  <si>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</si>
  <si>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</si>
  <si>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</si>
  <si>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</si>
  <si>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</si>
  <si>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</si>
  <si>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</si>
  <si>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</si>
  <si>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</si>
  <si>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</si>
  <si>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</si>
  <si>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</si>
  <si>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</si>
  <si>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</si>
  <si>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</si>
  <si>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</si>
  <si>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</si>
  <si>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Earnings per person</t>
  </si>
  <si>
    <t>Average Earnings</t>
  </si>
  <si>
    <t>Total Medicare taxable earnings per person</t>
  </si>
  <si>
    <t>OASDI Persons (thousands)</t>
  </si>
  <si>
    <t>Sigmoid Rate Curve x Total Income</t>
  </si>
  <si>
    <t>Sigmoid Rate Curve x Earnings</t>
  </si>
  <si>
    <t>Earnings/person factor</t>
  </si>
  <si>
    <t>Number of Persons (Millions)</t>
  </si>
  <si>
    <t>Earnings (Millions of Dollars)</t>
  </si>
  <si>
    <t>Funds Produced by Non-payroll Income Tax from IV(A) (Millions of Dollars)</t>
  </si>
  <si>
    <t>Earnings Range</t>
  </si>
  <si>
    <t>Total Earnings                        (Thousands of Dollars)</t>
  </si>
  <si>
    <r>
      <t>Long-term care portion of out-of-pocket costs</t>
    </r>
    <r>
      <rPr>
        <vertAlign val="superscript"/>
        <sz val="12"/>
        <color theme="1"/>
        <rFont val="Times New Roman"/>
        <family val="1"/>
      </rPr>
      <t>2</t>
    </r>
  </si>
  <si>
    <r>
      <t>Medicare Recipients (2014)</t>
    </r>
    <r>
      <rPr>
        <vertAlign val="superscript"/>
        <sz val="12"/>
        <color theme="1"/>
        <rFont val="Times New Roman"/>
        <family val="1"/>
      </rPr>
      <t>4</t>
    </r>
  </si>
  <si>
    <r>
      <rPr>
        <vertAlign val="superscript"/>
        <sz val="12"/>
        <rFont val="Times New Roman"/>
        <family val="1"/>
      </rPr>
      <t>3</t>
    </r>
    <r>
      <rPr>
        <sz val="12"/>
        <rFont val="Times New Roman"/>
        <family val="1"/>
      </rPr>
      <t xml:space="preserve"> Growth in Personal Income</t>
    </r>
    <r>
      <rPr>
        <sz val="12"/>
        <color theme="10"/>
        <rFont val="Times New Roman"/>
        <family val="1"/>
      </rPr>
      <t xml:space="preserve"> </t>
    </r>
    <r>
      <rPr>
        <u/>
        <sz val="12"/>
        <color theme="10"/>
        <rFont val="Times New Roman"/>
        <family val="1"/>
      </rPr>
      <t xml:space="preserve"> https://www.cbo.gov/publication/52370</t>
    </r>
  </si>
  <si>
    <r>
      <rPr>
        <vertAlign val="superscript"/>
        <sz val="12"/>
        <color theme="1"/>
        <rFont val="Times New Roman"/>
        <family val="1"/>
      </rPr>
      <t>4</t>
    </r>
    <r>
      <rPr>
        <sz val="12"/>
        <color theme="1"/>
        <rFont val="Times New Roman"/>
        <family val="1"/>
      </rPr>
      <t>MEDICARE_ENROLLMENT14.CSV along with prior data on projected growth</t>
    </r>
  </si>
  <si>
    <t>All returns</t>
  </si>
  <si>
    <t>Salaries and wages in AGI: Amount (thousands of dollars)</t>
  </si>
  <si>
    <t>Total non-payroll income (thousands of dollars)</t>
  </si>
  <si>
    <t>Under
$1 [1]</t>
  </si>
  <si>
    <t>$1
under
$10,000</t>
  </si>
  <si>
    <t>$10,000
under
$25,000</t>
  </si>
  <si>
    <t>$25,000
under
$50,000</t>
  </si>
  <si>
    <t>$50,000
under
$75,000</t>
  </si>
  <si>
    <t>$75,000
under
$100,000</t>
  </si>
  <si>
    <t>$100,000
under
$200,000</t>
  </si>
  <si>
    <t>$200,000
under
$500,000</t>
  </si>
  <si>
    <t>$500,000
under
$1,000,000</t>
  </si>
  <si>
    <t>$1,000,000
or
more</t>
  </si>
  <si>
    <t>OKIO</t>
  </si>
  <si>
    <t>SOUTH  CAROLINA</t>
  </si>
  <si>
    <t>UNITED STATES</t>
  </si>
  <si>
    <t>Personal Health Care</t>
  </si>
  <si>
    <t>Hospital Care</t>
  </si>
  <si>
    <t>Nursing Home Care</t>
  </si>
  <si>
    <t>Other Care</t>
  </si>
  <si>
    <t>Physicians and Other Professional Services</t>
  </si>
  <si>
    <t>Drugs and Medical Products</t>
  </si>
  <si>
    <t>Drugs &amp; Medical Products</t>
  </si>
  <si>
    <t>Physician &amp; Other Prof Svcs</t>
  </si>
  <si>
    <t>Health Care Costs (Millions of Dollars) [CMS Data]</t>
  </si>
  <si>
    <t>Private Insurance</t>
  </si>
  <si>
    <t>Source of Funds (Millions of Dollars) [CMS Data]</t>
  </si>
  <si>
    <t>Projected Spending with Current Program</t>
  </si>
  <si>
    <t xml:space="preserve">        Physicians and Other Professional Services</t>
  </si>
  <si>
    <t xml:space="preserve">        Other Care</t>
  </si>
  <si>
    <r>
      <t>Savings through Drug &amp; Medical Product Price Negotiations</t>
    </r>
    <r>
      <rPr>
        <b/>
        <vertAlign val="superscript"/>
        <sz val="12"/>
        <color theme="1"/>
        <rFont val="Times New Roman"/>
        <family val="1"/>
      </rPr>
      <t>4</t>
    </r>
  </si>
  <si>
    <t xml:space="preserve">   Insurance Administration</t>
  </si>
  <si>
    <t>Savings through Eliminating Private Insurance Administrative Costs</t>
  </si>
  <si>
    <r>
      <t xml:space="preserve">        Cost of Administering Single Payer Program</t>
    </r>
    <r>
      <rPr>
        <b/>
        <vertAlign val="superscript"/>
        <sz val="12"/>
        <color theme="1"/>
        <rFont val="Times New Roman"/>
        <family val="1"/>
      </rPr>
      <t>1</t>
    </r>
  </si>
  <si>
    <t>Net Funding Needed</t>
  </si>
  <si>
    <t>Medicare Enrollment (Thousands)</t>
  </si>
  <si>
    <t xml:space="preserve"> Percent Growth</t>
  </si>
  <si>
    <t>Rate Factor with Tax on Non-payroll Income</t>
  </si>
  <si>
    <t>Rate Factor with No Tax on Non-payroll Income</t>
  </si>
  <si>
    <t>Should non-payroll income be taxed?</t>
  </si>
  <si>
    <t>Non-Payroll Tax Choice</t>
  </si>
  <si>
    <t>Tax Rate</t>
  </si>
  <si>
    <t>Employer portion of payroll tax</t>
  </si>
  <si>
    <t>Employer Tax Rate</t>
  </si>
  <si>
    <t>Employee Tax Rate</t>
  </si>
  <si>
    <t>Percent Uninsured 2015</t>
  </si>
  <si>
    <t>Employees of Health Insurance Carriers</t>
  </si>
  <si>
    <t>Cost/Worker (est.)</t>
  </si>
  <si>
    <r>
      <t xml:space="preserve">   Employer Cost of Administering Private Health Insurance</t>
    </r>
    <r>
      <rPr>
        <b/>
        <vertAlign val="superscript"/>
        <sz val="12"/>
        <color theme="1"/>
        <rFont val="Times New Roman"/>
        <family val="1"/>
      </rPr>
      <t>2</t>
    </r>
  </si>
  <si>
    <t>Health care administrative costs will be greatly reduced as a single public financing system replaces multiple private insurers. Providers of health care services, including hospitals and physicians, will save administrative costs through the simplification of the single-payer billing system. They will need to hire far fewer billing clerks and staff to deal with insurance companies. Studies of these savings are available and are provided in the Notes. Estimates of the administrative cost for the new system, the percent savings for providers, the percent drug cost savings, and the reduction in fraud are presented. Each of these can be varied to see what its effect is on overall costs and savings.</t>
  </si>
  <si>
    <t>Persons who are now uninsured or underinsured will be fully covered under the proposed plan, so this additional cost must be estimated. The uninsured already receive some care -- the usual estimates are that they receive about one-half of what the insured receive -- so this must be taken into account in making this estimate. Also, most single payer proposals eliminate all cost sharing (deductibles, copays, coinsurance), because these expenses impose barriers that prevent people from receiving necessary care without (as many studies show) reducing the cost of the overall system. So an estimate of the additional utilization resulting from the elimination of these barriers must be estimated. (While one can imagine great increases in utilization when care becomes fully free at the point of service, in fact, it is limited by the number of physicians and other providers available to serve them; the history of Medicare shows that there is a shift in who receives care, from the wealthy to the poor, but little rise in overall utilization.) We also include funds to support workers who are displaced as a result of the simplified billing system. You will need to enter estimates of the current spending on the uninsured compared to the insured, the projected percent uninsured when the program goes into effect, the additional utilization when cost sharing is eliminated, and the estimated cost of support per displaced worker.</t>
  </si>
  <si>
    <t xml:space="preserve">   We assume a progressive tax-based financing plan using a “sigmoid” shape that requires low payments from low-income individuals but with the tax rate rising as income increases and flattening out at high incomes. If you wish, you can modify the two Curve Factors to modify this shape. 
   This spreadsheet considers two possible forms that the health care tax can take: (A) individual income taxes on salary and wage income and on non-payroll unearned income (dividends, rents, pensions, etc.), and (B) a payroll tax. Income taxes are, as we know, difficult to compute, and it is not easy to include an employer contribution to the individual income tax. Payroll taxes are easy to compute, and employer contributions can be readily included, but payroll taxes may provide a disincentive for employers to hire new workers. This spreadsheet will compute both. In the case of the payroll tax, you can stil use the non-payroll portion of the income tax.) In either case, income and payroll information for each state is used to determine what taxes are needed to provide the necessary funds to replace private insurance premiums and out-of-pocket payments. The information on income and payroll is included in this spreadsheet for all states. You need to provide just an estimate of the rate of growth of income between now and when the new plan goes into effect.
   The single payer program must pay the Part B premiums for Medicare recipients, since there is no incentive for them to pay this themselves when they can get free care through the new system. The spreadsheet will calculate the necessary taxes using data that is already built in it.</t>
  </si>
  <si>
    <r>
      <rPr>
        <b/>
        <sz val="12"/>
        <color theme="1"/>
        <rFont val="Times New Roman"/>
        <family val="1"/>
      </rPr>
      <t>Note</t>
    </r>
    <r>
      <rPr>
        <sz val="12"/>
        <color theme="1"/>
        <rFont val="Times New Roman"/>
        <family val="1"/>
      </rPr>
      <t xml:space="preserve">: I want to acknowledge the work of </t>
    </r>
    <r>
      <rPr>
        <b/>
        <sz val="12"/>
        <color theme="1"/>
        <rFont val="Times New Roman"/>
        <family val="1"/>
      </rPr>
      <t>Gerald Friedman</t>
    </r>
    <r>
      <rPr>
        <sz val="12"/>
        <color theme="1"/>
        <rFont val="Times New Roman"/>
        <family val="1"/>
      </rPr>
      <t xml:space="preserve">, whose study of the New York Health Act provided the structure around which I built this analysis. I also want to acknowledge the fundamental work of </t>
    </r>
    <r>
      <rPr>
        <b/>
        <sz val="12"/>
        <color theme="1"/>
        <rFont val="Times New Roman"/>
        <family val="1"/>
      </rPr>
      <t>David Himmelstein and Steffie Woolhandler</t>
    </r>
    <r>
      <rPr>
        <sz val="12"/>
        <color theme="1"/>
        <rFont val="Times New Roman"/>
        <family val="1"/>
      </rPr>
      <t>, who have shown us, through their detailed studies conducted over many years, how wasteful is our current multipayer private insurance system and how greatly our health care and our economy will benefit through transition to a public single payer system.</t>
    </r>
  </si>
  <si>
    <t xml:space="preserve">                                                                          Financing by Payroll Tax</t>
  </si>
  <si>
    <t xml:space="preserve">                                                                      Financing by Income Tax</t>
  </si>
  <si>
    <r>
      <t xml:space="preserve">   Govt Pgm Admin Cost as Percent of Public Health Care Spending</t>
    </r>
    <r>
      <rPr>
        <vertAlign val="superscript"/>
        <sz val="12"/>
        <color theme="1"/>
        <rFont val="Times New Roman"/>
        <family val="1"/>
      </rPr>
      <t>6</t>
    </r>
  </si>
  <si>
    <r>
      <rPr>
        <vertAlign val="superscript"/>
        <sz val="12"/>
        <color theme="1"/>
        <rFont val="Times New Roman"/>
        <family val="1"/>
      </rPr>
      <t>6</t>
    </r>
    <r>
      <rPr>
        <sz val="12"/>
        <color theme="1"/>
        <rFont val="Times New Roman"/>
        <family val="1"/>
      </rPr>
      <t>The government program administrationc cost is given nationally in Table 02 of the source in Note 5.</t>
    </r>
  </si>
  <si>
    <r>
      <rPr>
        <vertAlign val="superscript"/>
        <sz val="12"/>
        <rFont val="Times New Roman"/>
        <family val="1"/>
      </rPr>
      <t>4</t>
    </r>
    <r>
      <rPr>
        <sz val="12"/>
        <rFont val="Times New Roman"/>
        <family val="1"/>
      </rPr>
      <t xml:space="preserve"> Savings on drug prices can be based on McKinsey Global Institute, “Accounting for the Cost of Health Care in the United States,” January 2007, 56, </t>
    </r>
    <r>
      <rPr>
        <u/>
        <sz val="12"/>
        <color theme="10"/>
        <rFont val="Times New Roman"/>
        <family val="1"/>
      </rPr>
      <t>http://www.mckinsey.com/mgi/rp/healthcare/accounting_cost_healthcare.asp</t>
    </r>
    <r>
      <rPr>
        <sz val="12"/>
        <color theme="10"/>
        <rFont val="Times New Roman"/>
        <family val="1"/>
      </rPr>
      <t xml:space="preserve"> .</t>
    </r>
  </si>
  <si>
    <t>Displaced Workers</t>
  </si>
  <si>
    <t>,</t>
  </si>
  <si>
    <t>Physician Payment Choice</t>
  </si>
  <si>
    <r>
      <rPr>
        <vertAlign val="superscript"/>
        <sz val="12"/>
        <rFont val="Times New Roman"/>
        <family val="1"/>
      </rPr>
      <t>2</t>
    </r>
    <r>
      <rPr>
        <sz val="12"/>
        <rFont val="Times New Roman"/>
        <family val="1"/>
      </rPr>
      <t xml:space="preserve">G. Friedman, "Fiscal Study of New York Health Act" 2015, p. 18. </t>
    </r>
    <r>
      <rPr>
        <u/>
        <sz val="12"/>
        <color theme="10"/>
        <rFont val="Times New Roman"/>
        <family val="1"/>
      </rPr>
      <t>http://www.infoshare.org/main/Economic_Analysis_New_York_Health_Act_-_GFriedman_-_April_2015.pdf</t>
    </r>
  </si>
  <si>
    <t>Total Administrative Costs</t>
  </si>
  <si>
    <r>
      <t>Additional Utilization due to Elimination of Cost Sharing</t>
    </r>
    <r>
      <rPr>
        <b/>
        <vertAlign val="superscript"/>
        <sz val="12"/>
        <color theme="1"/>
        <rFont val="Times New Roman"/>
        <family val="1"/>
      </rPr>
      <t>3</t>
    </r>
  </si>
  <si>
    <r>
      <rPr>
        <vertAlign val="superscript"/>
        <sz val="12"/>
        <rFont val="Times New Roman"/>
        <family val="1"/>
      </rPr>
      <t xml:space="preserve">4 </t>
    </r>
    <r>
      <rPr>
        <sz val="12"/>
        <rFont val="Times New Roman"/>
        <family val="1"/>
      </rPr>
      <t xml:space="preserve">Physicians receive lower reimbursement for seeing Medicaid patients than for seeing Medicare patients, and lower reimbursements for seeing Medicare patients than for seeing patients with private insurance. In this analysis, physicians may receive an average of these reimbursement levels ("No"), or reimbursements may be raised to private insurance levels ("Yes"). See G. Friedman, "Fiscal Study of New York Health Act" 2015, p. 24. </t>
    </r>
    <r>
      <rPr>
        <u/>
        <sz val="12"/>
        <color theme="10"/>
        <rFont val="Times New Roman"/>
        <family val="1"/>
      </rPr>
      <t>http://www.infoshare.org/main/Economic_Analysis_New_York_Health_Act_-_GFriedman_-_April_2015.pdf</t>
    </r>
  </si>
  <si>
    <t>Do-It-Yourself Single Payer Economic Analysis</t>
  </si>
  <si>
    <t>Current and Projected Spending</t>
  </si>
  <si>
    <r>
      <rPr>
        <vertAlign val="superscript"/>
        <sz val="12"/>
        <rFont val="Times New Roman"/>
        <family val="1"/>
      </rPr>
      <t>2</t>
    </r>
    <r>
      <rPr>
        <sz val="12"/>
        <rFont val="Times New Roman"/>
        <family val="1"/>
      </rPr>
      <t>The data in this section comes from the tables MEDICARE_AGGREGATE14.CSV, MEDICAID_AGGREGATE14.CSV, AND PHI_AGGREGATE14.CSV contained within the source in Note 1.</t>
    </r>
  </si>
  <si>
    <r>
      <t xml:space="preserve">   Private Ins Admin Cost as Percent of Private Insurance Spending</t>
    </r>
    <r>
      <rPr>
        <vertAlign val="superscript"/>
        <sz val="12"/>
        <color theme="1"/>
        <rFont val="Times New Roman"/>
        <family val="1"/>
      </rPr>
      <t>7</t>
    </r>
  </si>
  <si>
    <r>
      <rPr>
        <vertAlign val="superscript"/>
        <sz val="12"/>
        <color theme="1"/>
        <rFont val="Times New Roman"/>
        <family val="1"/>
      </rPr>
      <t>7</t>
    </r>
    <r>
      <rPr>
        <sz val="12"/>
        <color theme="1"/>
        <rFont val="Times New Roman"/>
        <family val="1"/>
      </rPr>
      <t>The private insurance administration cost  is given nationally in Table 02 of the source in Note 5. CMS includes in this figure the cost of administering private insurance in such "public" programs as Medicare Advantage, Medicaid Managed Care, etc.</t>
    </r>
  </si>
  <si>
    <t>This spreadsheet allows you to perform your own economic analysis of a single payer plan for your state, or for the United States. In four steps, you can estimate the cost and savings of such a plan and develop a financing plan that will provide the necessary funds. All required documentation is contained in the spreadsheet.</t>
  </si>
  <si>
    <t>Existing Funds</t>
  </si>
  <si>
    <t xml:space="preserve">  Medicare</t>
  </si>
  <si>
    <t xml:space="preserve">  Medicaid</t>
  </si>
  <si>
    <t xml:space="preserve">  Other insurance payors</t>
  </si>
  <si>
    <r>
      <t xml:space="preserve">  Long-term care portion of out-of-pocket costs</t>
    </r>
    <r>
      <rPr>
        <vertAlign val="superscript"/>
        <sz val="12"/>
        <color theme="1"/>
        <rFont val="Times New Roman"/>
        <family val="1"/>
      </rPr>
      <t>2</t>
    </r>
  </si>
  <si>
    <t>Total Existing Funds</t>
  </si>
  <si>
    <r>
      <t>Number of Workers</t>
    </r>
    <r>
      <rPr>
        <b/>
        <vertAlign val="superscript"/>
        <sz val="12"/>
        <color theme="1"/>
        <rFont val="Times New Roman"/>
        <family val="1"/>
      </rPr>
      <t>6</t>
    </r>
  </si>
  <si>
    <r>
      <rPr>
        <vertAlign val="superscript"/>
        <sz val="12"/>
        <rFont val="Times New Roman"/>
        <family val="1"/>
      </rPr>
      <t>6</t>
    </r>
    <r>
      <rPr>
        <sz val="12"/>
        <rFont val="Times New Roman"/>
        <family val="1"/>
      </rPr>
      <t xml:space="preserve">This is an upper-bound estimate from federal data Occupational Employment Statistics:  OES Research Estimates by State and Industry, Sectors 52-53 Finance Insurance Real Estate. Direct health and medical insurance carriers, </t>
    </r>
    <r>
      <rPr>
        <u/>
        <sz val="12"/>
        <color theme="10"/>
        <rFont val="Times New Roman"/>
        <family val="1"/>
      </rPr>
      <t>https://www.bls.gov/oes/2014/may/oes_research_estimates.htm.</t>
    </r>
    <r>
      <rPr>
        <sz val="12"/>
        <color theme="10"/>
        <rFont val="Times New Roman"/>
        <family val="1"/>
      </rPr>
      <t xml:space="preserve"> </t>
    </r>
    <r>
      <rPr>
        <sz val="12"/>
        <rFont val="Times New Roman"/>
        <family val="1"/>
      </rPr>
      <t>We assume that 9 other workers interact with the direct employees of insurance carriers, either in the insurance industry or as employees of health care providers who prepare and submit claims to carriers.</t>
    </r>
  </si>
  <si>
    <t>State</t>
  </si>
  <si>
    <t>State Population</t>
  </si>
  <si>
    <t>Number of Caregivers</t>
  </si>
  <si>
    <t>Number of Care Hours (millions)</t>
  </si>
  <si>
    <t>Economic Value per Hour</t>
  </si>
  <si>
    <t>Total Economic Value (millions)</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</si>
  <si>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</si>
  <si>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</si>
  <si>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</si>
  <si>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</si>
  <si>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</si>
  <si>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</si>
  <si>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</si>
  <si>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</si>
  <si>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</si>
  <si>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</si>
  <si>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</si>
  <si>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</si>
  <si>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</si>
  <si>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</si>
  <si>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</si>
  <si>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</si>
  <si>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</si>
  <si>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</si>
  <si>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</si>
  <si>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</si>
  <si>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</si>
  <si>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</si>
  <si>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</si>
  <si>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</si>
  <si>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</si>
  <si>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</si>
  <si>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</si>
  <si>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</si>
  <si>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</si>
  <si>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</si>
  <si>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</si>
  <si>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</si>
  <si>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</si>
  <si>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</si>
  <si>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</si>
  <si>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</si>
  <si>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</si>
  <si>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</si>
  <si>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</si>
  <si>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</si>
  <si>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</si>
  <si>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</si>
  <si>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</si>
  <si>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</si>
  <si>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</si>
  <si>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</si>
  <si>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</si>
  <si>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</si>
  <si>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</si>
  <si>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</si>
  <si>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</si>
  <si>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United States</t>
  </si>
  <si>
    <t>Number of Family Caregivers and the Economic Value of Caregiving 2013</t>
  </si>
  <si>
    <t>Long-term Care</t>
  </si>
  <si>
    <r>
      <t>Should Long-term Care be Included in the Plan?</t>
    </r>
    <r>
      <rPr>
        <b/>
        <vertAlign val="superscript"/>
        <sz val="14"/>
        <color theme="1"/>
        <rFont val="Times New Roman"/>
        <family val="1"/>
      </rPr>
      <t>5</t>
    </r>
  </si>
  <si>
    <r>
      <rPr>
        <vertAlign val="superscript"/>
        <sz val="12"/>
        <rFont val="Times New Roman"/>
        <family val="1"/>
      </rPr>
      <t>5</t>
    </r>
    <r>
      <rPr>
        <sz val="12"/>
        <rFont val="Times New Roman"/>
        <family val="1"/>
      </rPr>
      <t>If long-term care is not included in the plan, set B12 to zero. Otherwise, when long-term care is included, it is expected that a substantial portion of the care that is now provided informally by family members and others will shift to paid care under the plan (this is frequently referred to as the "woodwork effect"). This value is determined from estimates of the amount of existing "informal" unpaid care. See "Valuing the Invaluable 2015 Update", AARP Public Policy Institute, from which our state-level estimate is drawn.</t>
    </r>
    <r>
      <rPr>
        <u/>
        <sz val="12"/>
        <color theme="10"/>
        <rFont val="Times New Roman"/>
        <family val="1"/>
      </rPr>
      <t>http://www.aarp.org/ppi/info-2015/valuing-the-invaluable-2015-update.html</t>
    </r>
  </si>
  <si>
    <r>
      <rPr>
        <vertAlign val="superscript"/>
        <sz val="12"/>
        <rFont val="Times New Roman"/>
        <family val="1"/>
      </rPr>
      <t>2</t>
    </r>
    <r>
      <rPr>
        <sz val="12"/>
        <rFont val="Times New Roman"/>
        <family val="1"/>
      </rPr>
      <t xml:space="preserve"> If long-term care is not covered under the plan,  long-term care costs, including out-of-pocket costs and private long-term care insurance, will have to be paid by users of these services. Generally, this is about one-third of all out-of-pocket spending. See O’Shaughnessy, C. (2014). "National spending for long-term services and supports," National Health Policy Forum report, GWU, Washington, D.C</t>
    </r>
    <r>
      <rPr>
        <u/>
        <sz val="12"/>
        <color theme="10"/>
        <rFont val="Times New Roman"/>
        <family val="1"/>
      </rPr>
      <t>.http://www.nhpf.org/library/the-basics/Basics_LTSS_03-27-14.pdf</t>
    </r>
  </si>
  <si>
    <r>
      <rPr>
        <vertAlign val="superscript"/>
        <sz val="12"/>
        <rFont val="Times New Roman"/>
        <family val="1"/>
      </rPr>
      <t>2</t>
    </r>
    <r>
      <rPr>
        <sz val="12"/>
        <rFont val="Times New Roman"/>
        <family val="1"/>
      </rPr>
      <t xml:space="preserve"> If long-term care is not covered under the plan, long-term care costs, including out-of-pocket costs and private long-term care insurance, will have to be paid by users of these services. Generally, this is about one-third of all out-of-pocket spending. See O’Shaughnessy, C. (2014). "National spending for long-term services and supports," National Health Policy Forum report, GWU, Washington, D.C</t>
    </r>
    <r>
      <rPr>
        <u/>
        <sz val="12"/>
        <color theme="10"/>
        <rFont val="Times New Roman"/>
        <family val="1"/>
      </rPr>
      <t>.http://www.nhpf.org/library/the-basics/Basics_LTSS_03-27-14.pdf</t>
    </r>
  </si>
  <si>
    <t>IVA&amp;B. Two financing plans that will provide the necessary funds for the plan</t>
  </si>
  <si>
    <t>Assuming that the single payer plan goes into effect several years from now, we need projections from existing data. Now, in 2017, we have actual data up to 2014, while CMS has produced national projections through 2025. In this spreadsheet, we project forward using the state trends through 2014, and then we assume that each type of spending grows at the same rate in the future as it has in the past. To obtain projections for data that the government does not provide at the state level -- especially out-of-pocket spending and administrative costs -- we use the ratio of these costs to total spending as projected nationally. That is, we assume that the proportion of these costs for each state are approximately the same as the average for the nation as a whole.</t>
  </si>
  <si>
    <r>
      <rPr>
        <vertAlign val="superscript"/>
        <sz val="12"/>
        <color theme="1"/>
        <rFont val="Times New Roman"/>
        <family val="1"/>
      </rPr>
      <t>3</t>
    </r>
    <r>
      <rPr>
        <sz val="12"/>
        <color theme="1"/>
        <rFont val="Times New Roman"/>
        <family val="1"/>
      </rPr>
      <t>MEDICARE_ENROLLMENT14.CSV along with prior data on projected growth</t>
    </r>
  </si>
  <si>
    <r>
      <t>Medicare Recipients (2014)</t>
    </r>
    <r>
      <rPr>
        <vertAlign val="superscript"/>
        <sz val="12"/>
        <color theme="1"/>
        <rFont val="Times New Roman"/>
        <family val="1"/>
      </rPr>
      <t>3</t>
    </r>
  </si>
  <si>
    <r>
      <t>2.</t>
    </r>
    <r>
      <rPr>
        <sz val="7"/>
        <color theme="1"/>
        <rFont val="Times New Roman"/>
        <family val="1"/>
      </rPr>
      <t xml:space="preserve">      </t>
    </r>
    <r>
      <rPr>
        <sz val="12"/>
        <color theme="1"/>
        <rFont val="Times New Roman"/>
        <family val="1"/>
      </rPr>
      <t>Enter in Cell D5 the year when you expect the program to go into effect.</t>
    </r>
  </si>
  <si>
    <r>
      <t>3.</t>
    </r>
    <r>
      <rPr>
        <sz val="7"/>
        <color theme="1"/>
        <rFont val="Times New Roman"/>
        <family val="1"/>
      </rPr>
      <t xml:space="preserve">      </t>
    </r>
    <r>
      <rPr>
        <sz val="12"/>
        <color theme="1"/>
        <rFont val="Times New Roman"/>
        <family val="1"/>
      </rPr>
      <t>All other data in Worksheet I is drawn from federal government data and projections.</t>
    </r>
  </si>
  <si>
    <r>
      <t>4.</t>
    </r>
    <r>
      <rPr>
        <sz val="7"/>
        <color theme="1"/>
        <rFont val="Times New Roman"/>
        <family val="1"/>
      </rPr>
      <t xml:space="preserve">      </t>
    </r>
    <r>
      <rPr>
        <sz val="12"/>
        <color theme="1"/>
        <rFont val="Times New Roman"/>
        <family val="1"/>
      </rPr>
      <t>Go to Worksheet II. Enter in Cell B7 your estimate of the administrative cost as a percent of the total cost of the single payer program.</t>
    </r>
  </si>
  <si>
    <r>
      <t>5.</t>
    </r>
    <r>
      <rPr>
        <sz val="7"/>
        <color theme="1"/>
        <rFont val="Times New Roman"/>
        <family val="1"/>
      </rPr>
      <t xml:space="preserve">      </t>
    </r>
    <r>
      <rPr>
        <sz val="12"/>
        <color theme="1"/>
        <rFont val="Times New Roman"/>
        <family val="1"/>
      </rPr>
      <t>Enter in Cell B8 the employer’s current cost of administering private employer-based insurance, as a percent of the insurance cost.</t>
    </r>
  </si>
  <si>
    <r>
      <t>6.</t>
    </r>
    <r>
      <rPr>
        <sz val="7"/>
        <color theme="1"/>
        <rFont val="Times New Roman"/>
        <family val="1"/>
      </rPr>
      <t xml:space="preserve">      </t>
    </r>
    <r>
      <rPr>
        <sz val="12"/>
        <color theme="1"/>
        <rFont val="Times New Roman"/>
        <family val="1"/>
      </rPr>
      <t>Enter in Cells D11, D12, and D13 the percent saving that providers of health care will experience by replacing private insurance with the single payer plan.</t>
    </r>
  </si>
  <si>
    <r>
      <t>7.</t>
    </r>
    <r>
      <rPr>
        <sz val="7"/>
        <color theme="1"/>
        <rFont val="Times New Roman"/>
        <family val="1"/>
      </rPr>
      <t xml:space="preserve">      </t>
    </r>
    <r>
      <rPr>
        <sz val="12"/>
        <color theme="1"/>
        <rFont val="Times New Roman"/>
        <family val="1"/>
      </rPr>
      <t>Enter in Cell D16 the percentage saving in drug costs to be expected from the single payer agency negotiating with the pharmaceutical companies.</t>
    </r>
  </si>
  <si>
    <r>
      <t>8.</t>
    </r>
    <r>
      <rPr>
        <sz val="7"/>
        <color theme="1"/>
        <rFont val="Times New Roman"/>
        <family val="1"/>
      </rPr>
      <t xml:space="preserve">      </t>
    </r>
    <r>
      <rPr>
        <sz val="12"/>
        <color theme="1"/>
        <rFont val="Times New Roman"/>
        <family val="1"/>
      </rPr>
      <t>Enter in Cell D18 the overall percentage saving to be expected from reducing waste, fraud, and abuse.</t>
    </r>
  </si>
  <si>
    <r>
      <t>9.</t>
    </r>
    <r>
      <rPr>
        <sz val="7"/>
        <color theme="1"/>
        <rFont val="Times New Roman"/>
        <family val="1"/>
      </rPr>
      <t xml:space="preserve">      </t>
    </r>
    <r>
      <rPr>
        <sz val="12"/>
        <color theme="1"/>
        <rFont val="Times New Roman"/>
        <family val="1"/>
      </rPr>
      <t>Go to Worksheet III. Enter in Cell B5 an estimate of the current spending on each uninsured person as compared with the spending on an insured person.</t>
    </r>
  </si>
  <si>
    <r>
      <t>10.</t>
    </r>
    <r>
      <rPr>
        <sz val="7"/>
        <color theme="1"/>
        <rFont val="Times New Roman"/>
        <family val="1"/>
      </rPr>
      <t xml:space="preserve">  </t>
    </r>
    <r>
      <rPr>
        <sz val="12"/>
        <color theme="1"/>
        <rFont val="Times New Roman"/>
        <family val="1"/>
      </rPr>
      <t>Enter in Cell B8 an estimate of the additional utilization of medical resources (doctors, dentists, hospitals, etc.) as a result of the elimination of cost-sharing (deductibles, copays, coinsurance).</t>
    </r>
  </si>
  <si>
    <r>
      <t>11.</t>
    </r>
    <r>
      <rPr>
        <sz val="7"/>
        <color theme="1"/>
        <rFont val="Times New Roman"/>
        <family val="1"/>
      </rPr>
      <t xml:space="preserve">  </t>
    </r>
    <r>
      <rPr>
        <sz val="12"/>
        <color theme="1"/>
        <rFont val="Times New Roman"/>
        <family val="1"/>
      </rPr>
      <t>In Cell B10, answer whether physician fees should be raised from Medicaid and Medicare levels to private insurance levels in your plan.</t>
    </r>
  </si>
  <si>
    <r>
      <t>12.</t>
    </r>
    <r>
      <rPr>
        <sz val="7"/>
        <color theme="1"/>
        <rFont val="Times New Roman"/>
        <family val="1"/>
      </rPr>
      <t xml:space="preserve">  </t>
    </r>
    <r>
      <rPr>
        <sz val="12"/>
        <color theme="1"/>
        <rFont val="Times New Roman"/>
        <family val="1"/>
      </rPr>
      <t>Enter in Cell C13 an estimate of the annual cost of supporting and retraining a worker who will be displaced by the single payer plan.</t>
    </r>
  </si>
  <si>
    <r>
      <t>13.</t>
    </r>
    <r>
      <rPr>
        <sz val="7"/>
        <color theme="1"/>
        <rFont val="Times New Roman"/>
        <family val="1"/>
      </rPr>
      <t xml:space="preserve">  </t>
    </r>
    <r>
      <rPr>
        <sz val="12"/>
        <color theme="1"/>
        <rFont val="Times New Roman"/>
        <family val="1"/>
      </rPr>
      <t>In Cell B22, answer whether long-term care should be included in your plan.</t>
    </r>
  </si>
  <si>
    <r>
      <t>14.</t>
    </r>
    <r>
      <rPr>
        <sz val="7"/>
        <color theme="1"/>
        <rFont val="Times New Roman"/>
        <family val="1"/>
      </rPr>
      <t xml:space="preserve">  </t>
    </r>
    <r>
      <rPr>
        <sz val="12"/>
        <color theme="1"/>
        <rFont val="Times New Roman"/>
        <family val="1"/>
      </rPr>
      <t>If you answered Yes to the previous question, enter in Cell B23 an estimate of the percent of currently unpaid personal care that will be converted to paid care when the plan goes into effect.</t>
    </r>
  </si>
  <si>
    <r>
      <t>16.</t>
    </r>
    <r>
      <rPr>
        <sz val="7"/>
        <color theme="1"/>
        <rFont val="Times New Roman"/>
        <family val="1"/>
      </rPr>
      <t xml:space="preserve">  </t>
    </r>
    <r>
      <rPr>
        <sz val="12"/>
        <color theme="1"/>
        <rFont val="Times New Roman"/>
        <family val="1"/>
      </rPr>
      <t>In Cell B20 provide an estimate of the annual increase in personal income in your state (Note: This should be “nominal”, current dollar income, not “real”, without-inflation, income.)</t>
    </r>
  </si>
  <si>
    <r>
      <t>17.</t>
    </r>
    <r>
      <rPr>
        <sz val="7"/>
        <color theme="1"/>
        <rFont val="Times New Roman"/>
        <family val="1"/>
      </rPr>
      <t xml:space="preserve">  </t>
    </r>
    <r>
      <rPr>
        <sz val="12"/>
        <color theme="1"/>
        <rFont val="Times New Roman"/>
        <family val="1"/>
      </rPr>
      <t>View the Tax Table. In Cells J21 and J22 you can modify the shape of the graduated-tax curve, if you wish.</t>
    </r>
  </si>
  <si>
    <r>
      <t>19.</t>
    </r>
    <r>
      <rPr>
        <sz val="7"/>
        <color theme="1"/>
        <rFont val="Times New Roman"/>
        <family val="1"/>
      </rPr>
      <t xml:space="preserve">  </t>
    </r>
    <r>
      <rPr>
        <sz val="12"/>
        <color theme="1"/>
        <rFont val="Times New Roman"/>
        <family val="1"/>
      </rPr>
      <t>Enter in Cell B20 what percent of the payroll tax the employer should pay.</t>
    </r>
  </si>
  <si>
    <r>
      <t>20.</t>
    </r>
    <r>
      <rPr>
        <sz val="7"/>
        <color theme="1"/>
        <rFont val="Times New Roman"/>
        <family val="1"/>
      </rPr>
      <t xml:space="preserve">  </t>
    </r>
    <r>
      <rPr>
        <sz val="12"/>
        <color theme="1"/>
        <rFont val="Times New Roman"/>
        <family val="1"/>
      </rPr>
      <t>View the Tax Table. Again, in Cells J23 and J24 you can modify the shape of the graduated-tax curve, if you wish.</t>
    </r>
  </si>
  <si>
    <r>
      <t>21.</t>
    </r>
    <r>
      <rPr>
        <sz val="7"/>
        <color theme="1"/>
        <rFont val="Times New Roman"/>
        <family val="1"/>
      </rPr>
      <t xml:space="preserve">  </t>
    </r>
    <r>
      <rPr>
        <sz val="12"/>
        <color theme="1"/>
        <rFont val="Times New Roman"/>
        <family val="1"/>
      </rPr>
      <t>Go to Worksheet V to view a summary of the costs and savings.</t>
    </r>
  </si>
  <si>
    <t>Step-by-Step User Guide</t>
  </si>
  <si>
    <t xml:space="preserve">If you now wish to insert your own values for some of the parameters, the first step is to estimate current spending on health care, including where the funds are coming from.This is done for you, using data from the Centers for Medicare and Medicaid Services (CMS), which collects and publishes current spending by type of service (hospitals, physicians, drugs, etc.) and by source of funds (Medicare, Medicaid, private insurance, etc.), for each state. CMS also develops projections of national spending but does not provide these at the state level.  </t>
  </si>
  <si>
    <t>First specify which State, or the United States, that you want to analyze. If you wish, you can then proceed immediately to look at the results for your state, using the default values I have provided.</t>
  </si>
  <si>
    <r>
      <t>Should Physician Fees be raised to Private Insurance Levels (Yes) or set at an Average of Current Levels (No)?</t>
    </r>
    <r>
      <rPr>
        <b/>
        <vertAlign val="superscript"/>
        <sz val="12"/>
        <color theme="1"/>
        <rFont val="Times New Roman"/>
        <family val="1"/>
      </rPr>
      <t>4</t>
    </r>
  </si>
  <si>
    <r>
      <t xml:space="preserve">DO-IT-YOURSELF ECONOMIC ANALYSIS OF SINGLE PAYER PLANS                                 </t>
    </r>
    <r>
      <rPr>
        <sz val="24"/>
        <color theme="1"/>
        <rFont val="Times New Roman"/>
        <family val="1"/>
      </rPr>
      <t xml:space="preserve">Prepared by Leonard Rodberg, PhD                                         </t>
    </r>
    <r>
      <rPr>
        <sz val="18"/>
        <color theme="1"/>
        <rFont val="Times New Roman"/>
        <family val="1"/>
      </rPr>
      <t xml:space="preserve">Professor Emeritus of Urban Studies, Queens College/CUNY                                                        and                                                                                                                   Research Director, NYMetro Chapter,                                                     Physicians for a National Health Program  </t>
    </r>
    <r>
      <rPr>
        <sz val="20"/>
        <color theme="1"/>
        <rFont val="Times New Roman"/>
        <family val="1"/>
      </rPr>
      <t xml:space="preserve">                                                                                     </t>
    </r>
    <r>
      <rPr>
        <sz val="18"/>
        <color theme="1"/>
        <rFont val="Times New Roman"/>
        <family val="1"/>
      </rPr>
      <t>August 2017                                                                                         lrodberg@gmail.com</t>
    </r>
  </si>
  <si>
    <r>
      <t>Savings through Reduced Fraud</t>
    </r>
    <r>
      <rPr>
        <b/>
        <vertAlign val="superscript"/>
        <sz val="12"/>
        <color theme="1"/>
        <rFont val="Times New Roman"/>
        <family val="1"/>
      </rPr>
      <t>5</t>
    </r>
  </si>
  <si>
    <r>
      <t>Projected Annual Growth Rate in Personal Income</t>
    </r>
    <r>
      <rPr>
        <b/>
        <vertAlign val="superscript"/>
        <sz val="12"/>
        <color theme="1"/>
        <rFont val="Times New Roman"/>
        <family val="1"/>
      </rPr>
      <t>3</t>
    </r>
  </si>
  <si>
    <t>V. Summary</t>
  </si>
  <si>
    <t>The analysis proceeds through five worksheets. The step-by-step guide will lead you through them. They are:</t>
  </si>
  <si>
    <r>
      <t xml:space="preserve">The spreadsheet uses five worksheets in sequence. In each worksheet, you will find some cells with a </t>
    </r>
    <r>
      <rPr>
        <b/>
        <sz val="14"/>
        <color rgb="FFFF0000"/>
        <rFont val="Times New Roman"/>
        <family val="1"/>
      </rPr>
      <t>bright red font</t>
    </r>
    <r>
      <rPr>
        <sz val="14"/>
        <color theme="1"/>
        <rFont val="Times New Roman"/>
        <family val="1"/>
      </rPr>
      <t xml:space="preserve">. </t>
    </r>
    <r>
      <rPr>
        <b/>
        <sz val="14"/>
        <color rgb="FFFF0000"/>
        <rFont val="Times New Roman"/>
        <family val="1"/>
      </rPr>
      <t>Default values are suggested, but you can modify them to see the impact of variations or to suit your projection of their values</t>
    </r>
    <r>
      <rPr>
        <sz val="14"/>
        <color rgb="FFFF0000"/>
        <rFont val="Times New Roman"/>
        <family val="1"/>
      </rPr>
      <t>.</t>
    </r>
    <r>
      <rPr>
        <sz val="12"/>
        <color theme="1"/>
        <rFont val="Times New Roman"/>
        <family val="1"/>
      </rPr>
      <t xml:space="preserve"> In all other cases, we have used authoritative, usually governmental, sources for the values shown.  Results computed by the spreadsheet are shown with a blue background. Once, you have entered your data and viewed the results, you may want to vary these user-defined values to see how sensitive the results are to variations.</t>
    </r>
  </si>
  <si>
    <r>
      <rPr>
        <b/>
        <sz val="7"/>
        <color theme="1"/>
        <rFont val="Times New Roman"/>
        <family val="1"/>
      </rPr>
      <t xml:space="preserve"> </t>
    </r>
    <r>
      <rPr>
        <b/>
        <sz val="12"/>
        <color theme="1"/>
        <rFont val="Times New Roman"/>
        <family val="1"/>
      </rPr>
      <t>I. Current and projected spending under existing conditions</t>
    </r>
  </si>
  <si>
    <t xml:space="preserve">   A final worksheet provides a summary of these computations.</t>
  </si>
  <si>
    <r>
      <t>1.</t>
    </r>
    <r>
      <rPr>
        <sz val="7"/>
        <color theme="1"/>
        <rFont val="Times New Roman"/>
        <family val="1"/>
      </rPr>
      <t xml:space="preserve">      </t>
    </r>
    <r>
      <rPr>
        <sz val="12"/>
        <color theme="1"/>
        <rFont val="Times New Roman"/>
        <family val="1"/>
      </rPr>
      <t>Go to Worksheet I. In Cell A1 choose your State, or United States, from the dropdown list. At this point, you can actually examine the results in each of the worksheets using the default data I have provided. If you wish to enter your own data, proceed through the rest of this guide.</t>
    </r>
  </si>
  <si>
    <t xml:space="preserve">    &lt;--Enter State or United States</t>
  </si>
  <si>
    <r>
      <t>Out-of-pocket Spending</t>
    </r>
    <r>
      <rPr>
        <vertAlign val="superscript"/>
        <sz val="12"/>
        <color theme="1"/>
        <rFont val="Times New Roman"/>
        <family val="1"/>
      </rPr>
      <t>5</t>
    </r>
  </si>
  <si>
    <r>
      <rPr>
        <vertAlign val="superscript"/>
        <sz val="12"/>
        <rFont val="Times New Roman"/>
        <family val="1"/>
      </rPr>
      <t>5</t>
    </r>
    <r>
      <rPr>
        <sz val="12"/>
        <rFont val="Times New Roman"/>
        <family val="1"/>
      </rPr>
      <t xml:space="preserve">The share of total spending that is paid by individuals out-of-pocket is based on national estimates given in Table 03 of </t>
    </r>
    <r>
      <rPr>
        <u/>
        <sz val="10"/>
        <color theme="10"/>
        <rFont val="Arial"/>
        <family val="2"/>
      </rPr>
      <t>https://www.cms.gov/Research-Statistics-Data-and-Systems/Statistics-Trends-and-Reports/NationalHealthExpendData/NationalHealthAccountsProjected.html</t>
    </r>
  </si>
  <si>
    <t>Sigmoid Rate Curve x Salary &amp; Wages</t>
  </si>
  <si>
    <t>Sigmoid Rate Curve x Non-Payroll Income</t>
  </si>
  <si>
    <r>
      <t>15.</t>
    </r>
    <r>
      <rPr>
        <sz val="7"/>
        <color theme="1"/>
        <rFont val="Times New Roman"/>
        <family val="1"/>
      </rPr>
      <t xml:space="preserve">  </t>
    </r>
    <r>
      <rPr>
        <sz val="12"/>
        <color theme="1"/>
        <rFont val="Times New Roman"/>
        <family val="1"/>
      </rPr>
      <t>Go to Worksheet IV(A). In Cell B18 indicate whether non-payroll (interest, dividend, capital gains, rent, pension) income should be taxed, as well as wage and salary income. If it is taxed, then the model assumes that it is taxed at the same rate as wage and salary income.</t>
    </r>
  </si>
  <si>
    <r>
      <t>18.</t>
    </r>
    <r>
      <rPr>
        <sz val="7"/>
        <color theme="1"/>
        <rFont val="Times New Roman"/>
        <family val="1"/>
      </rPr>
      <t xml:space="preserve">  </t>
    </r>
    <r>
      <rPr>
        <sz val="12"/>
        <color theme="1"/>
        <rFont val="Times New Roman"/>
        <family val="1"/>
      </rPr>
      <t>Go to Worksheet IV(B). Again, in Cell B18 indicate whether non-payroll income should be taxed along with payroll income. If it is taxed, then the model assumes that it is taxed at the same rate as it would be in Worksheet IV(A).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</si>
</sst>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164" formatCode="#,##0.0"/>
    <numFmt numFmtId="165" formatCode="0.0%"/>
    <numFmt numFmtId="166" formatCode="&quot;$&quot;#,##0"/>
    <numFmt numFmtId="167" formatCode="#,##0.000"/>
    <numFmt numFmtId="168" formatCode="0.000"/>
    <numFmt numFmtId="169" formatCode="General_)"/>
    <numFmt numFmtId="170" formatCode="#,##0.00000"/>
    <numFmt numFmtId="171" formatCode="0.0"/>
    <numFmt numFmtId="172" formatCode="&quot;$&quot;#,##0.00"/>
  </numFmts>
  <fonts count="54" x14ac:knownFonts="1">
    <font>
      <sz val="10"/>
      <color theme="1"/>
      <name val="Arial"/>
      <family val="2"/>
    </font>
    <font>
      <b/>
      <sz val="10"/>
      <color theme="1"/>
      <name val="Arial"/>
      <family val="2"/>
    </font>
    <font>
      <sz val="10"/>
      <color theme="1"/>
      <name val="Arial"/>
      <family val="2"/>
    </font>
    <font>
      <sz val="10"/>
      <name val="Helv"/>
    </font>
    <font>
      <sz val="12"/>
      <color theme="1"/>
      <name val="Times New Roman"/>
      <family val="1"/>
    </font>
    <font>
      <sz val="12"/>
      <name val="Times New Roman"/>
      <family val="1"/>
    </font>
    <font>
      <b/>
      <sz val="12"/>
      <name val="Times New Roman"/>
      <family val="1"/>
    </font>
    <font>
      <b/>
      <sz val="12"/>
      <color theme="1"/>
      <name val="Times New Roman"/>
      <family val="1"/>
    </font>
    <font>
      <b/>
      <i/>
      <sz val="12"/>
      <color theme="1"/>
      <name val="Times New Roman"/>
      <family val="1"/>
    </font>
    <font>
      <sz val="10"/>
      <color indexed="8"/>
      <name val="Arial"/>
      <family val="2"/>
    </font>
    <font>
      <sz val="12"/>
      <color indexed="8"/>
      <name val="Times New Roman"/>
      <family val="1"/>
    </font>
    <font>
      <b/>
      <sz val="12"/>
      <color indexed="8"/>
      <name val="Times New Roman"/>
      <family val="1"/>
    </font>
    <font>
      <sz val="12"/>
      <color theme="1"/>
      <name val="Tempus Sans ITC"/>
      <family val="5"/>
    </font>
    <font>
      <b/>
      <vertAlign val="superscript"/>
      <sz val="12"/>
      <color theme="1"/>
      <name val="Times New Roman"/>
      <family val="1"/>
    </font>
    <font>
      <vertAlign val="superscript"/>
      <sz val="12"/>
      <color theme="1"/>
      <name val="Times New Roman"/>
      <family val="1"/>
    </font>
    <font>
      <b/>
      <sz val="14"/>
      <color rgb="FFFF0000"/>
      <name val="Times New Roman"/>
      <family val="1"/>
    </font>
    <font>
      <sz val="14"/>
      <color theme="1"/>
      <name val="Times New Roman"/>
      <family val="1"/>
    </font>
    <font>
      <sz val="10"/>
      <color theme="1"/>
      <name val="Times New Roman"/>
      <family val="1"/>
    </font>
    <font>
      <sz val="12"/>
      <color rgb="FF000000"/>
      <name val="Times New Roman"/>
      <family val="1"/>
    </font>
    <font>
      <vertAlign val="superscript"/>
      <sz val="12"/>
      <color rgb="FF000000"/>
      <name val="Times New Roman"/>
      <family val="1"/>
    </font>
    <font>
      <b/>
      <sz val="14"/>
      <color theme="1"/>
      <name val="Times New Roman"/>
      <family val="1"/>
    </font>
    <font>
      <b/>
      <sz val="22"/>
      <color rgb="FF000000"/>
      <name val="Baskerville Old Face"/>
      <family val="1"/>
    </font>
    <font>
      <sz val="22"/>
      <color theme="1"/>
      <name val="Baskerville Old Face"/>
      <family val="1"/>
    </font>
    <font>
      <sz val="10"/>
      <color theme="1"/>
      <name val="Baskerville Old Face"/>
      <family val="1"/>
    </font>
    <font>
      <sz val="16"/>
      <color theme="1"/>
      <name val="Times New Roman"/>
      <family val="1"/>
    </font>
    <font>
      <b/>
      <sz val="16"/>
      <color theme="1"/>
      <name val="Times New Roman"/>
      <family val="1"/>
    </font>
    <font>
      <b/>
      <sz val="14"/>
      <name val="Times New Roman"/>
      <family val="1"/>
    </font>
    <font>
      <u/>
      <sz val="10"/>
      <color theme="10"/>
      <name val="Arial"/>
      <family val="2"/>
    </font>
    <font>
      <b/>
      <sz val="7"/>
      <color theme="1"/>
      <name val="Times New Roman"/>
      <family val="1"/>
    </font>
    <font>
      <b/>
      <sz val="14"/>
      <color theme="1"/>
      <name val="Arial"/>
      <family val="2"/>
    </font>
    <font>
      <sz val="14"/>
      <color theme="1"/>
      <name val="Arial"/>
      <family val="2"/>
    </font>
    <font>
      <u/>
      <sz val="12"/>
      <color theme="10"/>
      <name val="Times New Roman"/>
      <family val="1"/>
    </font>
    <font>
      <vertAlign val="superscript"/>
      <sz val="12"/>
      <name val="Times New Roman"/>
      <family val="1"/>
    </font>
    <font>
      <sz val="12"/>
      <color theme="10"/>
      <name val="Times New Roman"/>
      <family val="1"/>
    </font>
    <font>
      <sz val="7"/>
      <color theme="1"/>
      <name val="Arial"/>
      <family val="2"/>
    </font>
    <font>
      <u/>
      <sz val="10"/>
      <color theme="10"/>
      <name val="Arial"/>
      <family val="1"/>
    </font>
    <font>
      <b/>
      <sz val="12"/>
      <color rgb="FFFF0000"/>
      <name val="Times New Roman"/>
      <family val="1"/>
    </font>
    <font>
      <sz val="48"/>
      <color theme="1"/>
      <name val="Times New Roman"/>
      <family val="1"/>
    </font>
    <font>
      <sz val="24"/>
      <color theme="1"/>
      <name val="Times New Roman"/>
      <family val="1"/>
    </font>
    <font>
      <sz val="12"/>
      <color rgb="FFFF0000"/>
      <name val="Times New Roman"/>
      <family val="1"/>
    </font>
    <font>
      <sz val="14"/>
      <color rgb="FFFF0000"/>
      <name val="Times New Roman"/>
      <family val="1"/>
    </font>
    <font>
      <sz val="8"/>
      <color rgb="FF000000"/>
      <name val="Segoe UI"/>
      <family val="2"/>
    </font>
    <font>
      <sz val="12"/>
      <color rgb="FF000000"/>
      <name val="Times New Roman"/>
      <family val="2"/>
    </font>
    <font>
      <sz val="13.5"/>
      <color rgb="FFFFFFFF"/>
      <name val="Times New Roman"/>
      <family val="2"/>
    </font>
    <font>
      <b/>
      <sz val="12"/>
      <color rgb="FF97191D"/>
      <name val="Times New Roman"/>
      <family val="2"/>
    </font>
    <font>
      <b/>
      <sz val="12"/>
      <name val="Times New Roman"/>
      <family val="2"/>
    </font>
    <font>
      <sz val="12"/>
      <name val="Arial"/>
      <family val="2"/>
    </font>
    <font>
      <b/>
      <sz val="12"/>
      <color rgb="FF000000"/>
      <name val="Times New Roman"/>
      <family val="1"/>
    </font>
    <font>
      <b/>
      <vertAlign val="superscript"/>
      <sz val="14"/>
      <color theme="1"/>
      <name val="Times New Roman"/>
      <family val="1"/>
    </font>
    <font>
      <sz val="12"/>
      <name val="Times New Roman"/>
      <family val="2"/>
    </font>
    <font>
      <sz val="10"/>
      <name val="Arial"/>
      <family val="2"/>
    </font>
    <font>
      <sz val="7"/>
      <color theme="1"/>
      <name val="Times New Roman"/>
      <family val="1"/>
    </font>
    <font>
      <sz val="20"/>
      <color theme="1"/>
      <name val="Times New Roman"/>
      <family val="1"/>
    </font>
    <font>
      <sz val="18"/>
      <color theme="1"/>
      <name val="Times New Roman"/>
      <family val="1"/>
    </font>
  </fonts>
  <fills count="6">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rgb="FFFF7C80"/>
        <bgColor indexed="64"/>
      </patternFill>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theme="0" tint="-0.24994659260841701"/>
      </bottom>
      <diagonal/>
    </border>
    <border>
      <left/>
      <right style="thin">
        <color auto="1"/>
      </right>
      <top style="thin">
        <color auto="1"/>
      </top>
      <bottom style="thin">
        <color auto="1"/>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bottom style="hair">
        <color indexed="64"/>
      </bottom>
      <diagonal/>
    </border>
  </borders>
  <cellStyleXfs count="9">
    <xf numFmtId="0" fontId="0" fillId="0" borderId="0"/>
    <xf numFmtId="0" fontId="3" fillId="0" borderId="0"/>
    <xf numFmtId="0" fontId="2" fillId="0" borderId="0"/>
    <xf numFmtId="169" fontId="9" fillId="0" borderId="0">
      <alignment horizontal="left" indent="2"/>
    </xf>
    <xf numFmtId="0" fontId="27" fillId="0" borderId="0" applyNumberFormat="0" applyFill="0" applyBorder="0" applyAlignment="0" applyProtection="0"/>
    <xf numFmtId="49" fontId="34" fillId="0" borderId="5">
      <alignment horizontal="right" wrapText="1"/>
    </xf>
    <xf numFmtId="49" fontId="34" fillId="0" borderId="7">
      <alignment horizontal="left" wrapText="1"/>
    </xf>
    <xf numFmtId="49" fontId="34" fillId="0" borderId="0">
      <alignment horizontal="left" wrapText="1"/>
    </xf>
    <xf numFmtId="3" fontId="34" fillId="0" borderId="0">
      <alignment horizontal="right"/>
    </xf>
  </cellStyleXfs>
  <cellXfs count="380">
    <xf numFmtId="0" fontId="0" fillId="0" borderId="0" xfId="0"/>
    <xf numFmtId="0" fontId="4" fillId="0" borderId="0" xfId="0" applyFont="1"/>
    <xf numFmtId="3" fontId="4" fillId="0" borderId="0" xfId="0" applyNumberFormat="1" applyFont="1"/>
    <xf numFmtId="0" fontId="7" fillId="0" borderId="0" xfId="0" applyFont="1"/>
    <xf numFmtId="166" fontId="4" fillId="0" borderId="0" xfId="0" applyNumberFormat="1" applyFont="1"/>
    <xf numFmtId="166" fontId="7" fillId="0" borderId="0" xfId="0" applyNumberFormat="1" applyFont="1"/>
    <xf numFmtId="165" fontId="0" fillId="0" borderId="0" xfId="0" applyNumberFormat="1" applyAlignment="1">
      <alignment horizontal="center"/>
    </xf>
    <xf numFmtId="165" fontId="4" fillId="0" borderId="0" xfId="0" applyNumberFormat="1" applyFont="1" applyAlignment="1">
      <alignment horizontal="center"/>
    </xf>
    <xf numFmtId="165" fontId="7" fillId="0" borderId="0" xfId="0" applyNumberFormat="1" applyFont="1" applyAlignment="1">
      <alignment horizontal="center"/>
    </xf>
    <xf numFmtId="0" fontId="7" fillId="0" borderId="3" xfId="0" applyFont="1" applyBorder="1"/>
    <xf numFmtId="166" fontId="4" fillId="0" borderId="0" xfId="0" applyNumberFormat="1" applyFont="1" applyAlignment="1">
      <alignment horizontal="center"/>
    </xf>
    <xf numFmtId="166" fontId="7" fillId="0" borderId="0" xfId="0" applyNumberFormat="1" applyFont="1" applyAlignment="1"/>
    <xf numFmtId="0" fontId="7" fillId="0" borderId="4" xfId="0" applyFont="1" applyBorder="1"/>
    <xf numFmtId="169" fontId="10" fillId="0" borderId="0" xfId="3" applyFont="1" applyFill="1" applyAlignment="1">
      <alignment horizontal="left" wrapText="1" indent="2"/>
    </xf>
    <xf numFmtId="166" fontId="4" fillId="0" borderId="3" xfId="0" applyNumberFormat="1" applyFont="1" applyBorder="1"/>
    <xf numFmtId="166" fontId="7" fillId="0" borderId="0" xfId="0" applyNumberFormat="1" applyFont="1" applyAlignment="1">
      <alignment horizontal="center"/>
    </xf>
    <xf numFmtId="169" fontId="11" fillId="0" borderId="0" xfId="3" applyFont="1" applyFill="1" applyAlignment="1">
      <alignment horizontal="left" wrapText="1"/>
    </xf>
    <xf numFmtId="166" fontId="7" fillId="0" borderId="3" xfId="0" applyNumberFormat="1" applyFont="1" applyBorder="1" applyAlignment="1"/>
    <xf numFmtId="0" fontId="4" fillId="0" borderId="0" xfId="0" applyFont="1" applyAlignment="1">
      <alignment horizontal="center"/>
    </xf>
    <xf numFmtId="166" fontId="4" fillId="0" borderId="3" xfId="0" applyNumberFormat="1" applyFont="1" applyBorder="1" applyAlignment="1">
      <alignment horizontal="center"/>
    </xf>
    <xf numFmtId="165" fontId="6" fillId="0" borderId="0" xfId="0" applyNumberFormat="1" applyFont="1" applyAlignment="1" applyProtection="1">
      <alignment horizontal="center"/>
      <protection locked="0"/>
    </xf>
    <xf numFmtId="0" fontId="7" fillId="0" borderId="0" xfId="0" applyFont="1" applyAlignment="1">
      <alignment wrapText="1"/>
    </xf>
    <xf numFmtId="3" fontId="4" fillId="0" borderId="0" xfId="0" applyNumberFormat="1" applyFont="1" applyAlignment="1">
      <alignment horizontal="center"/>
    </xf>
    <xf numFmtId="165" fontId="7" fillId="0" borderId="0" xfId="0" applyNumberFormat="1" applyFont="1" applyBorder="1" applyAlignment="1">
      <alignment wrapText="1"/>
    </xf>
    <xf numFmtId="0" fontId="0" fillId="0" borderId="0" xfId="0" applyBorder="1" applyAlignment="1">
      <alignment horizontal="center"/>
    </xf>
    <xf numFmtId="165" fontId="7" fillId="0" borderId="5" xfId="0" applyNumberFormat="1" applyFont="1" applyBorder="1" applyAlignment="1">
      <alignment horizontal="center"/>
    </xf>
    <xf numFmtId="166" fontId="4" fillId="0" borderId="0" xfId="0" applyNumberFormat="1" applyFont="1" applyBorder="1" applyAlignment="1">
      <alignment horizontal="center"/>
    </xf>
    <xf numFmtId="168" fontId="4" fillId="0" borderId="0" xfId="0" applyNumberFormat="1" applyFont="1" applyBorder="1" applyAlignment="1">
      <alignment horizontal="center"/>
    </xf>
    <xf numFmtId="0" fontId="0" fillId="0" borderId="0" xfId="0" applyAlignment="1">
      <alignment wrapText="1"/>
    </xf>
    <xf numFmtId="0" fontId="7" fillId="0" borderId="0" xfId="0" applyFont="1" applyAlignment="1">
      <alignment vertical="center"/>
    </xf>
    <xf numFmtId="0" fontId="4" fillId="0" borderId="0" xfId="0" applyFont="1" applyAlignment="1">
      <alignment vertical="center"/>
    </xf>
    <xf numFmtId="0" fontId="4" fillId="0" borderId="0" xfId="0" applyFont="1" applyAlignment="1">
      <alignment vertical="center" wrapText="1"/>
    </xf>
    <xf numFmtId="0" fontId="27" fillId="0" borderId="0" xfId="4" applyAlignment="1">
      <alignment vertical="center"/>
    </xf>
    <xf numFmtId="0" fontId="7" fillId="0" borderId="0" xfId="0" applyFont="1" applyAlignment="1">
      <alignment horizontal="left" vertical="center"/>
    </xf>
    <xf numFmtId="0" fontId="7" fillId="0" borderId="0" xfId="0" applyFont="1" applyAlignment="1">
      <alignment vertical="center" wrapText="1"/>
    </xf>
    <xf numFmtId="0" fontId="4" fillId="0" borderId="0" xfId="0" applyFont="1" applyAlignment="1">
      <alignment wrapText="1"/>
    </xf>
    <xf numFmtId="0" fontId="4" fillId="0" borderId="0" xfId="0" applyFont="1" applyFill="1" applyBorder="1"/>
    <xf numFmtId="0" fontId="7" fillId="3" borderId="4" xfId="0" applyFont="1" applyFill="1" applyBorder="1"/>
    <xf numFmtId="166" fontId="7" fillId="3" borderId="4" xfId="0" applyNumberFormat="1" applyFont="1" applyFill="1" applyBorder="1" applyAlignment="1">
      <alignment horizontal="center"/>
    </xf>
    <xf numFmtId="0" fontId="4" fillId="3" borderId="4" xfId="0" applyFont="1" applyFill="1" applyBorder="1" applyAlignment="1"/>
    <xf numFmtId="166" fontId="4" fillId="3" borderId="4" xfId="0" applyNumberFormat="1" applyFont="1" applyFill="1" applyBorder="1" applyAlignment="1">
      <alignment horizontal="center"/>
    </xf>
    <xf numFmtId="3" fontId="15" fillId="2" borderId="4" xfId="0" applyNumberFormat="1" applyFont="1" applyFill="1" applyBorder="1" applyAlignment="1">
      <alignment horizontal="center"/>
    </xf>
    <xf numFmtId="164" fontId="15" fillId="2" borderId="4" xfId="0" applyNumberFormat="1" applyFont="1" applyFill="1" applyBorder="1" applyAlignment="1">
      <alignment horizontal="center"/>
    </xf>
    <xf numFmtId="0" fontId="0" fillId="0" borderId="0" xfId="0" applyAlignment="1">
      <alignment horizontal="center"/>
    </xf>
    <xf numFmtId="0" fontId="0" fillId="0" borderId="0" xfId="0" applyNumberFormat="1" applyAlignment="1"/>
    <xf numFmtId="0" fontId="4" fillId="3" borderId="4" xfId="5" applyNumberFormat="1" applyFont="1" applyFill="1" applyBorder="1" applyAlignment="1">
      <alignment wrapText="1"/>
    </xf>
    <xf numFmtId="3" fontId="4" fillId="0" borderId="3" xfId="0" applyNumberFormat="1" applyFont="1" applyBorder="1"/>
    <xf numFmtId="3" fontId="7" fillId="0" borderId="0" xfId="0" applyNumberFormat="1" applyFont="1"/>
    <xf numFmtId="0" fontId="7" fillId="0" borderId="0" xfId="0" applyFont="1" applyAlignment="1">
      <alignment horizontal="right"/>
    </xf>
    <xf numFmtId="0" fontId="7" fillId="0" borderId="4" xfId="0" applyFont="1" applyFill="1" applyBorder="1" applyAlignment="1">
      <alignment horizontal="center" wrapText="1"/>
    </xf>
    <xf numFmtId="0" fontId="7" fillId="0" borderId="0" xfId="0" applyFont="1" applyFill="1" applyBorder="1"/>
    <xf numFmtId="0" fontId="7" fillId="0" borderId="4" xfId="0" applyFont="1" applyFill="1" applyBorder="1" applyAlignment="1">
      <alignment horizontal="center"/>
    </xf>
    <xf numFmtId="0" fontId="20" fillId="3" borderId="4" xfId="0" applyFont="1" applyFill="1" applyBorder="1"/>
    <xf numFmtId="0" fontId="15" fillId="3" borderId="4" xfId="0" applyFont="1" applyFill="1" applyBorder="1"/>
    <xf numFmtId="168" fontId="4" fillId="0" borderId="0" xfId="0" applyNumberFormat="1" applyFont="1"/>
    <xf numFmtId="0" fontId="7" fillId="0" borderId="0" xfId="0" applyFont="1" applyAlignment="1">
      <alignment horizontal="right"/>
    </xf>
    <xf numFmtId="3" fontId="4" fillId="0" borderId="0" xfId="8" applyNumberFormat="1" applyFont="1" applyAlignment="1">
      <alignment horizontal="right"/>
    </xf>
    <xf numFmtId="0" fontId="4" fillId="0" borderId="9" xfId="0" applyFont="1" applyBorder="1" applyAlignment="1">
      <alignment horizontal="center" wrapText="1"/>
    </xf>
    <xf numFmtId="0" fontId="0" fillId="0" borderId="2" xfId="0" applyBorder="1" applyAlignment="1">
      <alignment horizontal="center" wrapText="1"/>
    </xf>
    <xf numFmtId="170" fontId="7" fillId="0" borderId="0" xfId="0" applyNumberFormat="1" applyFont="1"/>
    <xf numFmtId="166" fontId="4" fillId="0" borderId="0" xfId="0" applyNumberFormat="1" applyFont="1" applyFill="1" applyBorder="1"/>
    <xf numFmtId="166" fontId="4" fillId="0" borderId="3" xfId="0" applyNumberFormat="1" applyFont="1" applyFill="1" applyBorder="1"/>
    <xf numFmtId="167" fontId="7" fillId="0" borderId="0" xfId="0" applyNumberFormat="1" applyFont="1" applyAlignment="1">
      <alignment horizontal="right"/>
    </xf>
    <xf numFmtId="165" fontId="4" fillId="3" borderId="4" xfId="0" applyNumberFormat="1" applyFont="1" applyFill="1" applyBorder="1"/>
    <xf numFmtId="166" fontId="4" fillId="0" borderId="0" xfId="0" applyNumberFormat="1" applyFont="1" applyBorder="1" applyAlignment="1">
      <alignment horizontal="right"/>
    </xf>
    <xf numFmtId="166" fontId="4" fillId="0" borderId="3" xfId="0" applyNumberFormat="1" applyFont="1" applyBorder="1" applyAlignment="1">
      <alignment horizontal="right"/>
    </xf>
    <xf numFmtId="166" fontId="4" fillId="0" borderId="0" xfId="0" applyNumberFormat="1" applyFont="1" applyAlignment="1"/>
    <xf numFmtId="166" fontId="4" fillId="0" borderId="8" xfId="0" applyNumberFormat="1" applyFont="1" applyFill="1" applyBorder="1"/>
    <xf numFmtId="166" fontId="0" fillId="0" borderId="0" xfId="0" applyNumberFormat="1"/>
    <xf numFmtId="166" fontId="4" fillId="0" borderId="0" xfId="8" applyNumberFormat="1" applyFont="1">
      <alignment horizontal="right"/>
    </xf>
    <xf numFmtId="166" fontId="7" fillId="0" borderId="0" xfId="0" applyNumberFormat="1" applyFont="1" applyAlignment="1">
      <alignment horizontal="right"/>
    </xf>
    <xf numFmtId="0" fontId="7" fillId="0" borderId="0" xfId="0" applyFont="1" applyAlignment="1">
      <alignment horizontal="right"/>
    </xf>
    <xf numFmtId="171" fontId="4" fillId="0" borderId="0" xfId="0" applyNumberFormat="1" applyFont="1" applyAlignment="1">
      <alignment horizontal="center"/>
    </xf>
    <xf numFmtId="165" fontId="7" fillId="0" borderId="10" xfId="0" applyNumberFormat="1" applyFont="1" applyBorder="1" applyAlignment="1">
      <alignment horizontal="center"/>
    </xf>
    <xf numFmtId="0" fontId="4" fillId="0" borderId="10" xfId="0" applyFont="1" applyBorder="1"/>
    <xf numFmtId="166" fontId="4" fillId="0" borderId="0" xfId="0" applyNumberFormat="1" applyFont="1" applyFill="1"/>
    <xf numFmtId="171" fontId="7" fillId="0" borderId="10" xfId="0" applyNumberFormat="1" applyFont="1" applyBorder="1" applyAlignment="1">
      <alignment horizontal="center"/>
    </xf>
    <xf numFmtId="49" fontId="7" fillId="0" borderId="10" xfId="0" applyNumberFormat="1" applyFont="1" applyBorder="1" applyAlignment="1">
      <alignment horizontal="right"/>
    </xf>
    <xf numFmtId="171" fontId="4" fillId="0" borderId="0" xfId="0" applyNumberFormat="1" applyFont="1" applyBorder="1" applyAlignment="1">
      <alignment horizontal="center"/>
    </xf>
    <xf numFmtId="0" fontId="1" fillId="0" borderId="0" xfId="0" applyFont="1" applyBorder="1" applyAlignment="1">
      <alignment horizontal="center"/>
    </xf>
    <xf numFmtId="166" fontId="5" fillId="0" borderId="0" xfId="0" applyNumberFormat="1" applyFont="1" applyFill="1" applyProtection="1"/>
    <xf numFmtId="166" fontId="5" fillId="0" borderId="3" xfId="0" applyNumberFormat="1" applyFont="1" applyFill="1" applyBorder="1" applyProtection="1"/>
    <xf numFmtId="165" fontId="5" fillId="0" borderId="0" xfId="0" applyNumberFormat="1" applyFont="1" applyFill="1" applyAlignment="1" applyProtection="1">
      <alignment horizontal="center"/>
    </xf>
    <xf numFmtId="165" fontId="4" fillId="0" borderId="0" xfId="0" applyNumberFormat="1" applyFont="1" applyFill="1" applyAlignment="1" applyProtection="1">
      <alignment horizontal="center"/>
    </xf>
    <xf numFmtId="165" fontId="7" fillId="0" borderId="0" xfId="0" applyNumberFormat="1" applyFont="1" applyFill="1"/>
    <xf numFmtId="165" fontId="36" fillId="3" borderId="10" xfId="0" applyNumberFormat="1" applyFont="1" applyFill="1" applyBorder="1" applyAlignment="1" applyProtection="1">
      <alignment horizontal="center"/>
      <protection locked="0"/>
    </xf>
    <xf numFmtId="165" fontId="36" fillId="3" borderId="4" xfId="0" applyNumberFormat="1" applyFont="1" applyFill="1" applyBorder="1" applyAlignment="1" applyProtection="1">
      <alignment horizontal="center"/>
      <protection locked="0"/>
    </xf>
    <xf numFmtId="166" fontId="4" fillId="0" borderId="0" xfId="0" applyNumberFormat="1" applyFont="1" applyFill="1" applyBorder="1" applyAlignment="1">
      <alignment horizontal="center"/>
    </xf>
    <xf numFmtId="166" fontId="16" fillId="0" borderId="0" xfId="0" applyNumberFormat="1" applyFont="1" applyFill="1" applyBorder="1" applyAlignment="1">
      <alignment horizontal="center"/>
    </xf>
    <xf numFmtId="0" fontId="7" fillId="3" borderId="5" xfId="0" applyNumberFormat="1" applyFont="1" applyFill="1" applyBorder="1" applyAlignment="1"/>
    <xf numFmtId="0" fontId="7" fillId="0" borderId="10" xfId="0" applyFont="1" applyBorder="1" applyAlignment="1">
      <alignment horizontal="center"/>
    </xf>
    <xf numFmtId="166" fontId="4" fillId="0" borderId="0" xfId="0" applyNumberFormat="1" applyFont="1" applyBorder="1"/>
    <xf numFmtId="3" fontId="7" fillId="0" borderId="10" xfId="0" applyNumberFormat="1" applyFont="1" applyBorder="1"/>
    <xf numFmtId="0" fontId="0" fillId="0" borderId="0" xfId="0" applyAlignment="1">
      <alignment horizontal="center"/>
    </xf>
    <xf numFmtId="0" fontId="20" fillId="0" borderId="0" xfId="0" applyFont="1" applyFill="1" applyBorder="1" applyProtection="1">
      <protection locked="0"/>
    </xf>
    <xf numFmtId="166" fontId="0" fillId="0" borderId="0" xfId="0" applyNumberFormat="1" applyAlignment="1" applyProtection="1">
      <alignment horizontal="center"/>
      <protection locked="0"/>
    </xf>
    <xf numFmtId="0" fontId="0" fillId="0" borderId="0" xfId="0" applyAlignment="1" applyProtection="1">
      <alignment horizontal="center"/>
      <protection locked="0"/>
    </xf>
    <xf numFmtId="0" fontId="0" fillId="0" borderId="0" xfId="0" applyProtection="1">
      <protection locked="0"/>
    </xf>
    <xf numFmtId="0" fontId="8" fillId="0" borderId="0" xfId="0" applyFont="1" applyProtection="1">
      <protection locked="0"/>
    </xf>
    <xf numFmtId="0" fontId="8" fillId="0" borderId="0" xfId="0" applyFont="1" applyFill="1" applyProtection="1">
      <protection locked="0"/>
    </xf>
    <xf numFmtId="0" fontId="0" fillId="0" borderId="0" xfId="0" applyFill="1" applyProtection="1">
      <protection locked="0"/>
    </xf>
    <xf numFmtId="166" fontId="7" fillId="0" borderId="4" xfId="0" applyNumberFormat="1" applyFont="1" applyBorder="1" applyAlignment="1" applyProtection="1">
      <alignment horizontal="center" wrapText="1"/>
      <protection locked="0"/>
    </xf>
    <xf numFmtId="166" fontId="7" fillId="0" borderId="10" xfId="0" applyNumberFormat="1" applyFont="1" applyBorder="1" applyAlignment="1" applyProtection="1">
      <alignment horizontal="center" wrapText="1"/>
      <protection locked="0"/>
    </xf>
    <xf numFmtId="0" fontId="7" fillId="3" borderId="4" xfId="0" applyFont="1" applyFill="1" applyBorder="1" applyProtection="1">
      <protection locked="0"/>
    </xf>
    <xf numFmtId="0" fontId="7" fillId="0" borderId="0" xfId="0" applyFont="1" applyFill="1" applyBorder="1" applyProtection="1">
      <protection locked="0"/>
    </xf>
    <xf numFmtId="166" fontId="4" fillId="0" borderId="0" xfId="0" applyNumberFormat="1" applyFont="1" applyAlignment="1" applyProtection="1">
      <alignment horizontal="center"/>
      <protection locked="0"/>
    </xf>
    <xf numFmtId="0" fontId="4" fillId="3" borderId="4" xfId="0" applyFont="1" applyFill="1" applyBorder="1" applyProtection="1">
      <protection locked="0"/>
    </xf>
    <xf numFmtId="0" fontId="4" fillId="0" borderId="0" xfId="0" applyFont="1" applyFill="1" applyBorder="1" applyProtection="1">
      <protection locked="0"/>
    </xf>
    <xf numFmtId="166" fontId="7" fillId="3" borderId="10" xfId="0" applyNumberFormat="1" applyFont="1" applyFill="1" applyBorder="1" applyAlignment="1" applyProtection="1">
      <alignment horizontal="center"/>
      <protection locked="0"/>
    </xf>
    <xf numFmtId="165" fontId="4" fillId="0" borderId="0" xfId="0" applyNumberFormat="1" applyFont="1" applyAlignment="1" applyProtection="1">
      <alignment horizontal="center"/>
      <protection locked="0"/>
    </xf>
    <xf numFmtId="166" fontId="7" fillId="3" borderId="4" xfId="0" applyNumberFormat="1" applyFont="1" applyFill="1" applyBorder="1" applyAlignment="1" applyProtection="1">
      <alignment horizontal="center"/>
      <protection locked="0"/>
    </xf>
    <xf numFmtId="0" fontId="4" fillId="0" borderId="0" xfId="0" applyFont="1" applyBorder="1" applyProtection="1">
      <protection locked="0"/>
    </xf>
    <xf numFmtId="166" fontId="7" fillId="3" borderId="4" xfId="0" applyNumberFormat="1" applyFont="1" applyFill="1" applyBorder="1" applyAlignment="1" applyProtection="1">
      <alignment wrapText="1"/>
      <protection locked="0"/>
    </xf>
    <xf numFmtId="166" fontId="7" fillId="0" borderId="0" xfId="0" applyNumberFormat="1" applyFont="1" applyFill="1" applyBorder="1" applyAlignment="1" applyProtection="1">
      <alignment wrapText="1"/>
      <protection locked="0"/>
    </xf>
    <xf numFmtId="166" fontId="7" fillId="0" borderId="0" xfId="0" applyNumberFormat="1" applyFont="1" applyAlignment="1" applyProtection="1">
      <alignment horizontal="center"/>
      <protection locked="0"/>
    </xf>
    <xf numFmtId="0" fontId="4" fillId="0" borderId="0" xfId="0" applyFont="1" applyAlignment="1" applyProtection="1">
      <alignment horizontal="center"/>
      <protection locked="0"/>
    </xf>
    <xf numFmtId="0" fontId="7" fillId="3" borderId="4" xfId="0" applyFont="1" applyFill="1" applyBorder="1" applyAlignment="1" applyProtection="1">
      <alignment horizontal="right"/>
      <protection locked="0"/>
    </xf>
    <xf numFmtId="0" fontId="7" fillId="0" borderId="0" xfId="0" applyFont="1" applyFill="1" applyBorder="1" applyAlignment="1" applyProtection="1">
      <alignment horizontal="right"/>
      <protection locked="0"/>
    </xf>
    <xf numFmtId="0" fontId="4" fillId="0" borderId="0" xfId="0" applyFont="1" applyProtection="1">
      <protection locked="0"/>
    </xf>
    <xf numFmtId="0" fontId="4" fillId="0" borderId="0" xfId="0" applyFont="1" applyFill="1" applyProtection="1">
      <protection locked="0"/>
    </xf>
    <xf numFmtId="166" fontId="7" fillId="0" borderId="0" xfId="0" applyNumberFormat="1" applyFont="1" applyBorder="1" applyAlignment="1" applyProtection="1">
      <alignment horizontal="center"/>
      <protection locked="0"/>
    </xf>
    <xf numFmtId="0" fontId="4" fillId="0" borderId="0" xfId="0" applyFont="1" applyBorder="1" applyAlignment="1" applyProtection="1">
      <alignment horizontal="center"/>
      <protection locked="0"/>
    </xf>
    <xf numFmtId="0" fontId="7" fillId="0" borderId="0" xfId="0" applyFont="1" applyProtection="1">
      <protection locked="0"/>
    </xf>
    <xf numFmtId="0" fontId="7" fillId="0" borderId="0" xfId="0" applyFont="1" applyFill="1" applyProtection="1">
      <protection locked="0"/>
    </xf>
    <xf numFmtId="0" fontId="12" fillId="0" borderId="0" xfId="0" applyFont="1" applyProtection="1">
      <protection locked="0"/>
    </xf>
    <xf numFmtId="0" fontId="12" fillId="0" borderId="0" xfId="0" applyFont="1" applyFill="1" applyProtection="1">
      <protection locked="0"/>
    </xf>
    <xf numFmtId="166" fontId="12" fillId="0" borderId="0" xfId="0" applyNumberFormat="1" applyFont="1" applyAlignment="1" applyProtection="1">
      <alignment horizontal="center"/>
      <protection locked="0"/>
    </xf>
    <xf numFmtId="0" fontId="12" fillId="0" borderId="0" xfId="0" applyFont="1" applyAlignment="1" applyProtection="1">
      <alignment horizontal="center"/>
      <protection locked="0"/>
    </xf>
    <xf numFmtId="0" fontId="20" fillId="3" borderId="4" xfId="0" applyFont="1" applyFill="1" applyBorder="1" applyProtection="1"/>
    <xf numFmtId="165" fontId="0" fillId="0" borderId="0" xfId="0" applyNumberFormat="1" applyAlignment="1" applyProtection="1">
      <alignment horizontal="center"/>
      <protection locked="0"/>
    </xf>
    <xf numFmtId="0" fontId="7" fillId="0" borderId="4" xfId="0" applyFont="1" applyBorder="1" applyAlignment="1" applyProtection="1">
      <alignment horizontal="center"/>
      <protection locked="0"/>
    </xf>
    <xf numFmtId="0" fontId="0" fillId="0" borderId="0" xfId="0" applyBorder="1" applyProtection="1">
      <protection locked="0"/>
    </xf>
    <xf numFmtId="0" fontId="0" fillId="0" borderId="0" xfId="0" applyBorder="1" applyAlignment="1" applyProtection="1">
      <alignment horizontal="center"/>
      <protection locked="0"/>
    </xf>
    <xf numFmtId="0" fontId="7" fillId="0" borderId="0" xfId="0" applyFont="1" applyBorder="1" applyAlignment="1" applyProtection="1">
      <alignment horizontal="center"/>
      <protection locked="0"/>
    </xf>
    <xf numFmtId="165" fontId="1" fillId="0" borderId="0" xfId="0" applyNumberFormat="1" applyFont="1" applyAlignment="1" applyProtection="1">
      <alignment horizontal="center"/>
      <protection locked="0"/>
    </xf>
    <xf numFmtId="9" fontId="15" fillId="0" borderId="0" xfId="0" applyNumberFormat="1" applyFont="1" applyAlignment="1" applyProtection="1">
      <alignment horizontal="center"/>
      <protection locked="0"/>
    </xf>
    <xf numFmtId="0" fontId="4" fillId="0" borderId="4" xfId="0" applyFont="1" applyBorder="1" applyProtection="1">
      <protection locked="0"/>
    </xf>
    <xf numFmtId="165" fontId="7" fillId="0" borderId="0" xfId="0" applyNumberFormat="1" applyFont="1" applyAlignment="1" applyProtection="1">
      <alignment horizontal="center"/>
      <protection locked="0"/>
    </xf>
    <xf numFmtId="165" fontId="7" fillId="0" borderId="0" xfId="0" applyNumberFormat="1" applyFont="1" applyFill="1" applyBorder="1" applyAlignment="1" applyProtection="1">
      <alignment horizontal="center"/>
      <protection locked="0"/>
    </xf>
    <xf numFmtId="0" fontId="0" fillId="0" borderId="0" xfId="0" applyFill="1" applyBorder="1" applyProtection="1">
      <protection locked="0"/>
    </xf>
    <xf numFmtId="165" fontId="0" fillId="0" borderId="0" xfId="0" applyNumberFormat="1" applyFill="1" applyBorder="1" applyAlignment="1" applyProtection="1">
      <alignment horizontal="center"/>
      <protection locked="0"/>
    </xf>
    <xf numFmtId="165" fontId="7" fillId="0" borderId="0" xfId="0" applyNumberFormat="1" applyFont="1" applyBorder="1" applyAlignment="1" applyProtection="1">
      <alignment horizontal="right" wrapText="1"/>
      <protection locked="0"/>
    </xf>
    <xf numFmtId="165" fontId="13" fillId="0" borderId="0" xfId="0" applyNumberFormat="1" applyFont="1" applyAlignment="1" applyProtection="1">
      <alignment horizontal="center"/>
      <protection locked="0"/>
    </xf>
    <xf numFmtId="0" fontId="27" fillId="0" borderId="0" xfId="4" applyProtection="1">
      <protection locked="0"/>
    </xf>
    <xf numFmtId="3" fontId="4" fillId="0" borderId="0" xfId="0" applyNumberFormat="1" applyFont="1" applyAlignment="1" applyProtection="1">
      <alignment horizontal="center"/>
      <protection locked="0"/>
    </xf>
    <xf numFmtId="0" fontId="16" fillId="0" borderId="0" xfId="0" applyFont="1" applyBorder="1" applyAlignment="1" applyProtection="1">
      <alignment horizontal="center"/>
      <protection locked="0"/>
    </xf>
    <xf numFmtId="3" fontId="7" fillId="0" borderId="4" xfId="0" applyNumberFormat="1" applyFont="1" applyBorder="1" applyAlignment="1" applyProtection="1">
      <alignment horizontal="center" wrapText="1"/>
      <protection locked="0"/>
    </xf>
    <xf numFmtId="0" fontId="7" fillId="0" borderId="5" xfId="0" applyFont="1" applyBorder="1" applyAlignment="1" applyProtection="1">
      <alignment horizontal="center" wrapText="1"/>
      <protection locked="0"/>
    </xf>
    <xf numFmtId="0" fontId="1" fillId="0" borderId="0" xfId="0" applyFont="1" applyProtection="1">
      <protection locked="0"/>
    </xf>
    <xf numFmtId="0" fontId="7" fillId="3" borderId="5" xfId="0" applyFont="1" applyFill="1" applyBorder="1" applyProtection="1">
      <protection locked="0"/>
    </xf>
    <xf numFmtId="3" fontId="7" fillId="0" borderId="4" xfId="0" quotePrefix="1" applyNumberFormat="1" applyFont="1" applyBorder="1" applyAlignment="1" applyProtection="1">
      <alignment horizontal="center" wrapText="1"/>
      <protection locked="0"/>
    </xf>
    <xf numFmtId="0" fontId="7" fillId="0" borderId="4" xfId="0" applyFont="1" applyBorder="1" applyAlignment="1" applyProtection="1">
      <alignment horizontal="center" wrapText="1"/>
      <protection locked="0"/>
    </xf>
    <xf numFmtId="0" fontId="7" fillId="0" borderId="5" xfId="0" applyFont="1" applyBorder="1" applyProtection="1">
      <protection locked="0"/>
    </xf>
    <xf numFmtId="0" fontId="1" fillId="0" borderId="10" xfId="0" applyFont="1" applyBorder="1" applyAlignment="1" applyProtection="1">
      <alignment horizontal="center" wrapText="1"/>
      <protection locked="0"/>
    </xf>
    <xf numFmtId="165" fontId="7" fillId="3" borderId="4" xfId="0" applyNumberFormat="1" applyFont="1" applyFill="1" applyBorder="1" applyProtection="1">
      <protection locked="0"/>
    </xf>
    <xf numFmtId="166" fontId="4" fillId="0" borderId="0" xfId="0" applyNumberFormat="1" applyFont="1" applyProtection="1">
      <protection locked="0"/>
    </xf>
    <xf numFmtId="168" fontId="4" fillId="0" borderId="0" xfId="0" applyNumberFormat="1" applyFont="1" applyBorder="1" applyAlignment="1" applyProtection="1">
      <alignment horizontal="center"/>
      <protection locked="0"/>
    </xf>
    <xf numFmtId="0" fontId="1" fillId="0" borderId="0" xfId="0" applyFont="1" applyAlignment="1" applyProtection="1">
      <alignment horizontal="center" wrapText="1"/>
      <protection locked="0"/>
    </xf>
    <xf numFmtId="166" fontId="4" fillId="0" borderId="3" xfId="0" applyNumberFormat="1" applyFont="1" applyBorder="1" applyAlignment="1" applyProtection="1">
      <alignment horizontal="center"/>
      <protection locked="0"/>
    </xf>
    <xf numFmtId="166" fontId="4" fillId="0" borderId="0" xfId="0" applyNumberFormat="1" applyFont="1" applyBorder="1" applyAlignment="1" applyProtection="1">
      <alignment horizontal="center"/>
      <protection locked="0"/>
    </xf>
    <xf numFmtId="166" fontId="4" fillId="0" borderId="8" xfId="0" applyNumberFormat="1" applyFont="1" applyBorder="1" applyProtection="1">
      <protection locked="0"/>
    </xf>
    <xf numFmtId="166" fontId="4" fillId="0" borderId="3" xfId="0" applyNumberFormat="1" applyFont="1" applyBorder="1" applyProtection="1">
      <protection locked="0"/>
    </xf>
    <xf numFmtId="0" fontId="4" fillId="0" borderId="0" xfId="0" applyFont="1" applyAlignment="1" applyProtection="1">
      <alignment horizontal="right"/>
      <protection locked="0"/>
    </xf>
    <xf numFmtId="166" fontId="5" fillId="0" borderId="6" xfId="1" applyNumberFormat="1" applyFont="1" applyFill="1" applyBorder="1" applyAlignment="1" applyProtection="1">
      <alignment horizontal="right"/>
      <protection locked="0"/>
    </xf>
    <xf numFmtId="166" fontId="4" fillId="0" borderId="0" xfId="0" applyNumberFormat="1" applyFont="1" applyAlignment="1" applyProtection="1">
      <alignment horizontal="right"/>
      <protection locked="0"/>
    </xf>
    <xf numFmtId="167" fontId="4" fillId="0" borderId="0" xfId="0" applyNumberFormat="1" applyFont="1" applyProtection="1">
      <protection locked="0"/>
    </xf>
    <xf numFmtId="3" fontId="15" fillId="2" borderId="4" xfId="0" applyNumberFormat="1" applyFont="1" applyFill="1" applyBorder="1" applyAlignment="1" applyProtection="1">
      <alignment horizontal="center"/>
      <protection locked="0"/>
    </xf>
    <xf numFmtId="168" fontId="7" fillId="3" borderId="4" xfId="0" applyNumberFormat="1" applyFont="1" applyFill="1" applyBorder="1" applyAlignment="1" applyProtection="1">
      <alignment horizontal="center"/>
      <protection locked="0"/>
    </xf>
    <xf numFmtId="167" fontId="7" fillId="3" borderId="4" xfId="0" applyNumberFormat="1" applyFont="1" applyFill="1" applyBorder="1" applyProtection="1">
      <protection locked="0"/>
    </xf>
    <xf numFmtId="164" fontId="15" fillId="2" borderId="4" xfId="0" applyNumberFormat="1" applyFont="1" applyFill="1" applyBorder="1" applyAlignment="1" applyProtection="1">
      <alignment horizontal="center"/>
      <protection locked="0"/>
    </xf>
    <xf numFmtId="0" fontId="7" fillId="3" borderId="4" xfId="0" applyFont="1" applyFill="1" applyBorder="1" applyAlignment="1" applyProtection="1">
      <alignment horizontal="center"/>
      <protection locked="0"/>
    </xf>
    <xf numFmtId="166" fontId="7" fillId="3" borderId="4" xfId="0" applyNumberFormat="1" applyFont="1" applyFill="1" applyBorder="1" applyProtection="1">
      <protection locked="0"/>
    </xf>
    <xf numFmtId="165" fontId="7" fillId="0" borderId="0" xfId="0" applyNumberFormat="1" applyFont="1" applyBorder="1" applyAlignment="1" applyProtection="1">
      <alignment wrapText="1"/>
      <protection locked="0"/>
    </xf>
    <xf numFmtId="0" fontId="7" fillId="0" borderId="4" xfId="0" applyNumberFormat="1" applyFont="1" applyBorder="1" applyAlignment="1" applyProtection="1">
      <alignment horizontal="center"/>
      <protection locked="0"/>
    </xf>
    <xf numFmtId="3" fontId="4" fillId="0" borderId="0" xfId="0" applyNumberFormat="1" applyFont="1" applyBorder="1" applyAlignment="1" applyProtection="1">
      <alignment horizontal="center"/>
      <protection locked="0"/>
    </xf>
    <xf numFmtId="166" fontId="4" fillId="0" borderId="0" xfId="0" applyNumberFormat="1" applyFont="1" applyFill="1" applyBorder="1" applyAlignment="1" applyProtection="1">
      <alignment horizontal="center"/>
      <protection locked="0"/>
    </xf>
    <xf numFmtId="166" fontId="16" fillId="0" borderId="0" xfId="0" applyNumberFormat="1" applyFont="1" applyFill="1" applyBorder="1" applyAlignment="1" applyProtection="1">
      <alignment horizontal="center"/>
      <protection locked="0"/>
    </xf>
    <xf numFmtId="0" fontId="4" fillId="3" borderId="4" xfId="0" applyFont="1" applyFill="1" applyBorder="1" applyAlignment="1" applyProtection="1">
      <protection locked="0"/>
    </xf>
    <xf numFmtId="166" fontId="20" fillId="3" borderId="10" xfId="0" applyNumberFormat="1" applyFont="1" applyFill="1" applyBorder="1" applyAlignment="1" applyProtection="1">
      <alignment horizontal="center"/>
      <protection locked="0"/>
    </xf>
    <xf numFmtId="0" fontId="0" fillId="0" borderId="0" xfId="0" applyAlignment="1" applyProtection="1">
      <protection locked="0"/>
    </xf>
    <xf numFmtId="0" fontId="4" fillId="0" borderId="10" xfId="0" applyFont="1" applyBorder="1" applyProtection="1">
      <protection locked="0"/>
    </xf>
    <xf numFmtId="0" fontId="24" fillId="0" borderId="0" xfId="0" applyFont="1" applyProtection="1">
      <protection locked="0"/>
    </xf>
    <xf numFmtId="0" fontId="25" fillId="0" borderId="3" xfId="0" applyFont="1" applyBorder="1" applyAlignment="1" applyProtection="1">
      <alignment horizontal="center"/>
      <protection locked="0"/>
    </xf>
    <xf numFmtId="0" fontId="25" fillId="0" borderId="0" xfId="0" applyFont="1" applyProtection="1">
      <protection locked="0"/>
    </xf>
    <xf numFmtId="165" fontId="24" fillId="0" borderId="0" xfId="0" applyNumberFormat="1" applyFont="1" applyAlignment="1" applyProtection="1">
      <alignment horizontal="center"/>
      <protection locked="0"/>
    </xf>
    <xf numFmtId="165" fontId="24" fillId="0" borderId="3" xfId="0" applyNumberFormat="1" applyFont="1" applyBorder="1" applyAlignment="1" applyProtection="1">
      <alignment horizontal="center"/>
      <protection locked="0"/>
    </xf>
    <xf numFmtId="0" fontId="25" fillId="0" borderId="0" xfId="0" applyFont="1" applyAlignment="1" applyProtection="1">
      <alignment horizontal="right"/>
      <protection locked="0"/>
    </xf>
    <xf numFmtId="165" fontId="25" fillId="0" borderId="0" xfId="0" applyNumberFormat="1" applyFont="1" applyProtection="1">
      <protection locked="0"/>
    </xf>
    <xf numFmtId="165" fontId="24" fillId="0" borderId="0" xfId="0" applyNumberFormat="1" applyFont="1" applyBorder="1" applyAlignment="1" applyProtection="1">
      <alignment horizontal="center"/>
      <protection locked="0"/>
    </xf>
    <xf numFmtId="165" fontId="25" fillId="0" borderId="0" xfId="0" applyNumberFormat="1" applyFont="1" applyBorder="1" applyProtection="1">
      <protection locked="0"/>
    </xf>
    <xf numFmtId="0" fontId="23" fillId="0" borderId="0" xfId="0" applyFont="1" applyProtection="1">
      <protection locked="0"/>
    </xf>
    <xf numFmtId="0" fontId="31" fillId="0" borderId="0" xfId="4" applyFont="1" applyAlignment="1" applyProtection="1">
      <protection locked="0"/>
    </xf>
    <xf numFmtId="0" fontId="4" fillId="0" borderId="0" xfId="0" applyFont="1" applyAlignment="1" applyProtection="1">
      <protection locked="0"/>
    </xf>
    <xf numFmtId="0" fontId="27" fillId="0" borderId="0" xfId="4" applyAlignment="1" applyProtection="1">
      <protection locked="0"/>
    </xf>
    <xf numFmtId="0" fontId="7" fillId="0" borderId="0" xfId="0" applyFont="1" applyAlignment="1" applyProtection="1">
      <alignment horizontal="right"/>
      <protection locked="0"/>
    </xf>
    <xf numFmtId="0" fontId="4" fillId="0" borderId="0" xfId="0" applyFont="1" applyAlignment="1" applyProtection="1">
      <alignment horizontal="left"/>
      <protection locked="0"/>
    </xf>
    <xf numFmtId="0" fontId="7" fillId="3" borderId="10" xfId="0" applyFont="1" applyFill="1" applyBorder="1" applyAlignment="1" applyProtection="1">
      <alignment horizontal="center" wrapText="1"/>
      <protection locked="0"/>
    </xf>
    <xf numFmtId="0" fontId="0" fillId="0" borderId="0" xfId="0" applyAlignment="1">
      <alignment horizontal="left"/>
    </xf>
    <xf numFmtId="0" fontId="7" fillId="0" borderId="4" xfId="0" applyFont="1" applyBorder="1" applyAlignment="1" applyProtection="1">
      <alignment horizontal="center" wrapText="1"/>
      <protection locked="0"/>
    </xf>
    <xf numFmtId="0" fontId="7" fillId="0" borderId="10" xfId="0" applyNumberFormat="1" applyFont="1" applyBorder="1" applyAlignment="1">
      <alignment horizontal="center"/>
    </xf>
    <xf numFmtId="9" fontId="6" fillId="0" borderId="4" xfId="0" applyNumberFormat="1" applyFont="1" applyFill="1" applyBorder="1" applyAlignment="1" applyProtection="1">
      <alignment horizontal="center" vertical="center"/>
      <protection locked="0"/>
    </xf>
    <xf numFmtId="166" fontId="7" fillId="3" borderId="4" xfId="0" applyNumberFormat="1" applyFont="1" applyFill="1" applyBorder="1" applyAlignment="1" applyProtection="1">
      <alignment horizontal="center" vertical="center"/>
      <protection locked="0"/>
    </xf>
    <xf numFmtId="165" fontId="7" fillId="3" borderId="4" xfId="0" applyNumberFormat="1" applyFont="1" applyFill="1" applyBorder="1" applyAlignment="1" applyProtection="1">
      <alignment horizontal="right"/>
      <protection locked="0"/>
    </xf>
    <xf numFmtId="165" fontId="0" fillId="3" borderId="4" xfId="0" applyNumberFormat="1" applyFill="1" applyBorder="1" applyAlignment="1" applyProtection="1">
      <alignment horizontal="center"/>
      <protection locked="0"/>
    </xf>
    <xf numFmtId="0" fontId="0" fillId="3" borderId="4" xfId="0" applyFill="1" applyBorder="1" applyProtection="1">
      <protection locked="0"/>
    </xf>
    <xf numFmtId="3" fontId="4" fillId="0" borderId="0" xfId="0" applyNumberFormat="1" applyFont="1" applyAlignment="1">
      <alignment horizontal="right"/>
    </xf>
    <xf numFmtId="3" fontId="4" fillId="0" borderId="7" xfId="0" applyNumberFormat="1" applyFont="1" applyFill="1" applyBorder="1" applyAlignment="1" applyProtection="1">
      <alignment horizontal="center"/>
      <protection locked="0"/>
    </xf>
    <xf numFmtId="3" fontId="4" fillId="0" borderId="0" xfId="0" applyNumberFormat="1" applyFont="1" applyProtection="1">
      <protection locked="0"/>
    </xf>
    <xf numFmtId="172" fontId="4" fillId="0" borderId="0" xfId="0" applyNumberFormat="1" applyFont="1"/>
    <xf numFmtId="172" fontId="4" fillId="0" borderId="0" xfId="0" applyNumberFormat="1" applyFont="1" applyProtection="1">
      <protection locked="0"/>
    </xf>
    <xf numFmtId="0" fontId="20" fillId="3" borderId="1" xfId="0" applyFont="1" applyFill="1" applyBorder="1" applyProtection="1"/>
    <xf numFmtId="0" fontId="4" fillId="0" borderId="0" xfId="0" applyFont="1" applyAlignment="1" applyProtection="1">
      <alignment wrapText="1"/>
      <protection locked="0"/>
    </xf>
    <xf numFmtId="0" fontId="0" fillId="0" borderId="0" xfId="0" applyAlignment="1" applyProtection="1">
      <alignment wrapText="1"/>
      <protection locked="0"/>
    </xf>
    <xf numFmtId="165" fontId="7" fillId="0" borderId="10" xfId="0" applyNumberFormat="1" applyFont="1" applyBorder="1" applyAlignment="1" applyProtection="1">
      <alignment horizontal="center" wrapText="1"/>
      <protection locked="0"/>
    </xf>
    <xf numFmtId="0" fontId="7" fillId="0" borderId="10" xfId="0" applyFont="1" applyBorder="1" applyAlignment="1" applyProtection="1">
      <alignment horizontal="center" wrapText="1"/>
      <protection locked="0"/>
    </xf>
    <xf numFmtId="9" fontId="36" fillId="0" borderId="0" xfId="0" applyNumberFormat="1" applyFont="1" applyFill="1" applyBorder="1" applyAlignment="1" applyProtection="1">
      <alignment horizontal="center"/>
      <protection locked="0"/>
    </xf>
    <xf numFmtId="9" fontId="15" fillId="0" borderId="0" xfId="0" applyNumberFormat="1" applyFont="1" applyFill="1" applyAlignment="1" applyProtection="1">
      <alignment horizontal="center"/>
      <protection locked="0"/>
    </xf>
    <xf numFmtId="166" fontId="7" fillId="0" borderId="0" xfId="0" applyNumberFormat="1" applyFont="1" applyFill="1" applyBorder="1" applyAlignment="1" applyProtection="1">
      <alignment horizontal="center"/>
      <protection locked="0"/>
    </xf>
    <xf numFmtId="0" fontId="0" fillId="0" borderId="0" xfId="0" applyFill="1" applyAlignment="1" applyProtection="1">
      <alignment horizontal="center"/>
      <protection locked="0"/>
    </xf>
    <xf numFmtId="0" fontId="7" fillId="0" borderId="0" xfId="0" applyFont="1" applyBorder="1" applyAlignment="1" applyProtection="1">
      <alignment horizontal="center" wrapText="1"/>
      <protection locked="0"/>
    </xf>
    <xf numFmtId="166" fontId="7" fillId="0" borderId="0" xfId="0" applyNumberFormat="1" applyFont="1" applyFill="1" applyBorder="1" applyAlignment="1" applyProtection="1">
      <alignment horizontal="center" vertical="center"/>
      <protection locked="0"/>
    </xf>
    <xf numFmtId="166" fontId="7" fillId="0" borderId="0" xfId="0" applyNumberFormat="1" applyFont="1" applyFill="1" applyBorder="1" applyAlignment="1" applyProtection="1">
      <alignment horizontal="right"/>
      <protection locked="0"/>
    </xf>
    <xf numFmtId="3" fontId="7" fillId="0" borderId="0" xfId="0" applyNumberFormat="1" applyFont="1" applyFill="1" applyBorder="1" applyAlignment="1" applyProtection="1">
      <alignment horizontal="left"/>
      <protection locked="0"/>
    </xf>
    <xf numFmtId="169" fontId="11" fillId="0" borderId="0" xfId="3" applyFont="1" applyFill="1" applyAlignment="1">
      <alignment horizontal="right" wrapText="1"/>
    </xf>
    <xf numFmtId="0" fontId="7" fillId="3" borderId="10" xfId="0" applyFont="1" applyFill="1" applyBorder="1" applyAlignment="1">
      <alignment horizontal="center" wrapText="1"/>
    </xf>
    <xf numFmtId="166" fontId="20" fillId="3" borderId="4" xfId="0" applyNumberFormat="1" applyFont="1" applyFill="1" applyBorder="1" applyAlignment="1" applyProtection="1">
      <alignment horizontal="center"/>
      <protection locked="0"/>
    </xf>
    <xf numFmtId="165" fontId="20" fillId="3" borderId="4" xfId="0" applyNumberFormat="1" applyFont="1" applyFill="1" applyBorder="1" applyAlignment="1" applyProtection="1">
      <alignment horizontal="center"/>
      <protection locked="0"/>
    </xf>
    <xf numFmtId="0" fontId="4" fillId="0" borderId="0" xfId="5" applyNumberFormat="1" applyFont="1" applyFill="1" applyBorder="1" applyAlignment="1">
      <alignment wrapText="1"/>
    </xf>
    <xf numFmtId="165" fontId="4" fillId="0" borderId="0" xfId="0" applyNumberFormat="1" applyFont="1"/>
    <xf numFmtId="0" fontId="18" fillId="0" borderId="0" xfId="0" applyFont="1" applyAlignment="1">
      <alignment vertical="center"/>
    </xf>
    <xf numFmtId="0" fontId="37" fillId="0" borderId="0" xfId="0" applyFont="1" applyAlignment="1">
      <alignment horizontal="center" wrapText="1"/>
    </xf>
    <xf numFmtId="0" fontId="29" fillId="0" borderId="0" xfId="0" applyFont="1" applyBorder="1" applyAlignment="1">
      <alignment horizontal="center"/>
    </xf>
    <xf numFmtId="0" fontId="20" fillId="0" borderId="0" xfId="0" applyFont="1" applyBorder="1" applyAlignment="1">
      <alignment horizontal="center"/>
    </xf>
    <xf numFmtId="166" fontId="5" fillId="0" borderId="0" xfId="0" applyNumberFormat="1" applyFont="1" applyFill="1" applyBorder="1" applyProtection="1"/>
    <xf numFmtId="0" fontId="7" fillId="0" borderId="0" xfId="0" applyFont="1" applyAlignment="1">
      <alignment horizontal="right"/>
    </xf>
    <xf numFmtId="0" fontId="4" fillId="0" borderId="5" xfId="0" applyFont="1" applyFill="1" applyBorder="1" applyAlignment="1"/>
    <xf numFmtId="165" fontId="6" fillId="0" borderId="7" xfId="0" applyNumberFormat="1" applyFont="1" applyFill="1" applyBorder="1" applyAlignment="1">
      <alignment horizontal="center"/>
    </xf>
    <xf numFmtId="0" fontId="4" fillId="0" borderId="0" xfId="0" applyFont="1" applyFill="1"/>
    <xf numFmtId="0" fontId="7" fillId="0" borderId="0" xfId="0" applyFont="1" applyFill="1"/>
    <xf numFmtId="0" fontId="39" fillId="0" borderId="0" xfId="0" applyFont="1" applyProtection="1">
      <protection locked="0"/>
    </xf>
    <xf numFmtId="0" fontId="7" fillId="3" borderId="10" xfId="0" applyFont="1" applyFill="1" applyBorder="1" applyAlignment="1" applyProtection="1">
      <alignment horizontal="right"/>
      <protection locked="0"/>
    </xf>
    <xf numFmtId="0" fontId="7" fillId="3" borderId="10" xfId="0" applyFont="1" applyFill="1" applyBorder="1" applyAlignment="1">
      <alignment horizontal="right"/>
    </xf>
    <xf numFmtId="166" fontId="20" fillId="3" borderId="10" xfId="0" applyNumberFormat="1" applyFont="1" applyFill="1" applyBorder="1" applyAlignment="1">
      <alignment horizontal="center"/>
    </xf>
    <xf numFmtId="166" fontId="7" fillId="0" borderId="3" xfId="0" applyNumberFormat="1" applyFont="1" applyBorder="1" applyAlignment="1">
      <alignment horizontal="center"/>
    </xf>
    <xf numFmtId="166" fontId="7" fillId="0" borderId="7" xfId="0" applyNumberFormat="1" applyFont="1" applyFill="1" applyBorder="1" applyAlignment="1" applyProtection="1">
      <alignment horizontal="center" vertical="center"/>
      <protection locked="0"/>
    </xf>
    <xf numFmtId="166" fontId="15" fillId="3" borderId="4" xfId="0" applyNumberFormat="1" applyFont="1" applyFill="1" applyBorder="1" applyAlignment="1" applyProtection="1">
      <alignment horizontal="center"/>
      <protection locked="0"/>
    </xf>
    <xf numFmtId="9" fontId="15" fillId="3" borderId="4" xfId="0" applyNumberFormat="1" applyFont="1" applyFill="1" applyBorder="1" applyAlignment="1" applyProtection="1">
      <alignment horizontal="center" vertical="center"/>
      <protection locked="0"/>
    </xf>
    <xf numFmtId="0" fontId="26" fillId="0" borderId="4" xfId="0" applyFont="1" applyFill="1" applyBorder="1" applyProtection="1"/>
    <xf numFmtId="0" fontId="7" fillId="0" borderId="7" xfId="0" applyFont="1" applyBorder="1" applyProtection="1">
      <protection locked="0"/>
    </xf>
    <xf numFmtId="0" fontId="7" fillId="3" borderId="1" xfId="0" applyFont="1" applyFill="1" applyBorder="1" applyAlignment="1" applyProtection="1">
      <alignment horizontal="left" wrapText="1" indent="1"/>
      <protection locked="0"/>
    </xf>
    <xf numFmtId="0" fontId="4" fillId="4" borderId="10" xfId="0" applyFont="1" applyFill="1" applyBorder="1" applyProtection="1">
      <protection locked="0"/>
    </xf>
    <xf numFmtId="9" fontId="15" fillId="3" borderId="7" xfId="0" applyNumberFormat="1" applyFont="1" applyFill="1" applyBorder="1" applyAlignment="1" applyProtection="1">
      <alignment horizontal="center"/>
      <protection locked="0"/>
    </xf>
    <xf numFmtId="165" fontId="15" fillId="3" borderId="10" xfId="0" applyNumberFormat="1" applyFont="1" applyFill="1" applyBorder="1" applyAlignment="1" applyProtection="1">
      <alignment horizontal="center" vertical="center"/>
      <protection locked="0"/>
    </xf>
    <xf numFmtId="9" fontId="15" fillId="3" borderId="10" xfId="0" applyNumberFormat="1" applyFont="1" applyFill="1" applyBorder="1" applyAlignment="1" applyProtection="1">
      <alignment horizontal="center"/>
      <protection locked="0"/>
    </xf>
    <xf numFmtId="166" fontId="7" fillId="0" borderId="0" xfId="0" applyNumberFormat="1" applyFont="1" applyFill="1" applyAlignment="1" applyProtection="1">
      <alignment horizontal="center"/>
      <protection locked="0"/>
    </xf>
    <xf numFmtId="0" fontId="0" fillId="0" borderId="0" xfId="0" applyBorder="1" applyAlignment="1" applyProtection="1">
      <alignment horizontal="right"/>
      <protection locked="0"/>
    </xf>
    <xf numFmtId="0" fontId="7" fillId="3" borderId="5" xfId="0" applyFont="1" applyFill="1" applyBorder="1" applyAlignment="1" applyProtection="1">
      <alignment horizontal="right"/>
      <protection locked="0"/>
    </xf>
    <xf numFmtId="0" fontId="0" fillId="4" borderId="10" xfId="0" applyFill="1" applyBorder="1" applyProtection="1">
      <protection locked="0"/>
    </xf>
    <xf numFmtId="3" fontId="42" fillId="5" borderId="10" xfId="0" applyNumberFormat="1" applyFont="1" applyFill="1" applyBorder="1" applyAlignment="1">
      <alignment vertical="top" wrapText="1"/>
    </xf>
    <xf numFmtId="8" fontId="42" fillId="5" borderId="10" xfId="0" applyNumberFormat="1" applyFont="1" applyFill="1" applyBorder="1" applyAlignment="1">
      <alignment vertical="top" wrapText="1"/>
    </xf>
    <xf numFmtId="6" fontId="42" fillId="5" borderId="10" xfId="0" applyNumberFormat="1" applyFont="1" applyFill="1" applyBorder="1" applyAlignment="1">
      <alignment vertical="top" wrapText="1"/>
    </xf>
    <xf numFmtId="0" fontId="44" fillId="5" borderId="10" xfId="0" applyFont="1" applyFill="1" applyBorder="1" applyAlignment="1">
      <alignment vertical="top" wrapText="1"/>
    </xf>
    <xf numFmtId="0" fontId="4" fillId="4" borderId="0" xfId="0" applyFont="1" applyFill="1" applyBorder="1" applyProtection="1">
      <protection locked="0"/>
    </xf>
    <xf numFmtId="1" fontId="7" fillId="0" borderId="0" xfId="0" applyNumberFormat="1" applyFont="1" applyAlignment="1" applyProtection="1">
      <alignment horizontal="left"/>
      <protection locked="0"/>
    </xf>
    <xf numFmtId="0" fontId="7" fillId="3" borderId="10" xfId="0" applyFont="1" applyFill="1" applyBorder="1" applyAlignment="1" applyProtection="1">
      <alignment horizontal="center"/>
      <protection locked="0"/>
    </xf>
    <xf numFmtId="0" fontId="39" fillId="0" borderId="0" xfId="0" applyFont="1" applyFill="1" applyProtection="1">
      <protection locked="0"/>
    </xf>
    <xf numFmtId="0" fontId="20" fillId="3" borderId="10" xfId="0" applyFont="1" applyFill="1" applyBorder="1" applyAlignment="1" applyProtection="1">
      <alignment horizontal="right"/>
      <protection locked="0"/>
    </xf>
    <xf numFmtId="166" fontId="24" fillId="0" borderId="0" xfId="0" applyNumberFormat="1" applyFont="1" applyAlignment="1" applyProtection="1">
      <alignment horizontal="right"/>
      <protection locked="0"/>
    </xf>
    <xf numFmtId="166" fontId="24" fillId="0" borderId="0" xfId="0" applyNumberFormat="1" applyFont="1" applyBorder="1" applyAlignment="1" applyProtection="1">
      <alignment horizontal="right"/>
      <protection locked="0"/>
    </xf>
    <xf numFmtId="166" fontId="24" fillId="0" borderId="3" xfId="0" applyNumberFormat="1" applyFont="1" applyBorder="1" applyAlignment="1" applyProtection="1">
      <alignment horizontal="right"/>
      <protection locked="0"/>
    </xf>
    <xf numFmtId="166" fontId="25" fillId="0" borderId="0" xfId="0" applyNumberFormat="1" applyFont="1" applyBorder="1" applyAlignment="1" applyProtection="1">
      <alignment horizontal="right"/>
      <protection locked="0"/>
    </xf>
    <xf numFmtId="166" fontId="24" fillId="0" borderId="0" xfId="0" applyNumberFormat="1" applyFont="1" applyProtection="1">
      <protection locked="0"/>
    </xf>
    <xf numFmtId="166" fontId="24" fillId="0" borderId="0" xfId="0" applyNumberFormat="1" applyFont="1" applyBorder="1" applyProtection="1">
      <protection locked="0"/>
    </xf>
    <xf numFmtId="166" fontId="24" fillId="0" borderId="3" xfId="0" applyNumberFormat="1" applyFont="1" applyBorder="1" applyProtection="1">
      <protection locked="0"/>
    </xf>
    <xf numFmtId="166" fontId="25" fillId="0" borderId="0" xfId="0" applyNumberFormat="1" applyFont="1" applyBorder="1" applyProtection="1">
      <protection locked="0"/>
    </xf>
    <xf numFmtId="166" fontId="25" fillId="0" borderId="0" xfId="0" applyNumberFormat="1" applyFont="1" applyProtection="1">
      <protection locked="0"/>
    </xf>
    <xf numFmtId="166" fontId="25" fillId="0" borderId="0" xfId="0" applyNumberFormat="1" applyFont="1" applyFill="1" applyBorder="1" applyAlignment="1" applyProtection="1">
      <protection locked="0"/>
    </xf>
    <xf numFmtId="165" fontId="15" fillId="3" borderId="10" xfId="0" applyNumberFormat="1" applyFont="1" applyFill="1" applyBorder="1" applyAlignment="1" applyProtection="1">
      <alignment horizontal="center"/>
      <protection locked="0"/>
    </xf>
    <xf numFmtId="9" fontId="15" fillId="3" borderId="10" xfId="0" applyNumberFormat="1" applyFont="1" applyFill="1" applyBorder="1" applyAlignment="1">
      <alignment horizontal="center"/>
    </xf>
    <xf numFmtId="0" fontId="7" fillId="0" borderId="10" xfId="0" applyFont="1" applyBorder="1" applyAlignment="1">
      <alignment horizontal="center"/>
    </xf>
    <xf numFmtId="0" fontId="0" fillId="0" borderId="0" xfId="0" applyAlignment="1" applyProtection="1">
      <alignment horizontal="center"/>
      <protection locked="0"/>
    </xf>
    <xf numFmtId="0" fontId="4" fillId="0" borderId="0" xfId="0" applyFont="1" applyAlignment="1">
      <alignment wrapText="1"/>
    </xf>
    <xf numFmtId="0" fontId="50" fillId="0" borderId="0" xfId="0" applyFont="1" applyProtection="1">
      <protection locked="0"/>
    </xf>
    <xf numFmtId="0" fontId="43" fillId="5" borderId="1" xfId="0" applyFont="1" applyFill="1" applyBorder="1" applyAlignment="1">
      <alignment horizontal="center" vertical="top" wrapText="1"/>
    </xf>
    <xf numFmtId="0" fontId="47" fillId="5" borderId="1" xfId="0" applyFont="1" applyFill="1" applyBorder="1" applyAlignment="1">
      <alignment horizontal="center" wrapText="1"/>
    </xf>
    <xf numFmtId="0" fontId="49" fillId="5" borderId="0" xfId="0" applyFont="1" applyFill="1" applyBorder="1" applyAlignment="1">
      <alignment wrapText="1"/>
    </xf>
    <xf numFmtId="3" fontId="49" fillId="5" borderId="0" xfId="0" applyNumberFormat="1" applyFont="1" applyFill="1" applyBorder="1" applyAlignment="1">
      <alignment wrapText="1"/>
    </xf>
    <xf numFmtId="8" fontId="49" fillId="5" borderId="0" xfId="0" applyNumberFormat="1" applyFont="1" applyFill="1" applyBorder="1" applyAlignment="1">
      <alignment wrapText="1"/>
    </xf>
    <xf numFmtId="6" fontId="49" fillId="5" borderId="0" xfId="0" applyNumberFormat="1" applyFont="1" applyFill="1" applyBorder="1" applyAlignment="1">
      <alignment wrapText="1"/>
    </xf>
    <xf numFmtId="0" fontId="0" fillId="0" borderId="12" xfId="0" applyBorder="1" applyProtection="1">
      <protection locked="0"/>
    </xf>
    <xf numFmtId="0" fontId="50" fillId="0" borderId="0" xfId="0" applyFont="1" applyBorder="1" applyProtection="1">
      <protection locked="0"/>
    </xf>
    <xf numFmtId="0" fontId="0" fillId="0" borderId="0" xfId="0" applyBorder="1"/>
    <xf numFmtId="0" fontId="20" fillId="0" borderId="0" xfId="0" applyFont="1" applyBorder="1" applyAlignment="1" applyProtection="1">
      <alignment horizontal="left"/>
      <protection locked="0"/>
    </xf>
    <xf numFmtId="0" fontId="1" fillId="0" borderId="0" xfId="0" applyFont="1" applyBorder="1" applyAlignment="1" applyProtection="1">
      <alignment horizontal="left"/>
      <protection locked="0"/>
    </xf>
    <xf numFmtId="0" fontId="4" fillId="0" borderId="0" xfId="0" applyFont="1" applyAlignment="1">
      <alignment horizontal="left" wrapText="1"/>
    </xf>
    <xf numFmtId="0" fontId="25" fillId="0" borderId="0" xfId="0" applyFont="1" applyAlignment="1">
      <alignment horizontal="center"/>
    </xf>
    <xf numFmtId="0" fontId="7" fillId="3" borderId="5" xfId="0" applyFont="1" applyFill="1" applyBorder="1" applyAlignment="1" applyProtection="1">
      <alignment horizontal="right" wrapText="1"/>
      <protection locked="0"/>
    </xf>
    <xf numFmtId="0" fontId="4" fillId="4" borderId="7" xfId="0" applyFont="1" applyFill="1" applyBorder="1" applyAlignment="1" applyProtection="1">
      <alignment vertical="center"/>
      <protection locked="0"/>
    </xf>
    <xf numFmtId="0" fontId="7" fillId="0" borderId="4" xfId="0" applyFont="1" applyBorder="1" applyAlignment="1" applyProtection="1">
      <alignment horizontal="center" wrapText="1"/>
      <protection locked="0"/>
    </xf>
    <xf numFmtId="0" fontId="7" fillId="0" borderId="2" xfId="0" applyFont="1" applyBorder="1"/>
    <xf numFmtId="0" fontId="4" fillId="0" borderId="3" xfId="0" applyFont="1" applyBorder="1"/>
    <xf numFmtId="0" fontId="20" fillId="0" borderId="0" xfId="0" applyFont="1" applyAlignment="1">
      <alignment horizontal="center" vertical="center"/>
    </xf>
    <xf numFmtId="0" fontId="27" fillId="0" borderId="0" xfId="4" applyAlignment="1">
      <alignment wrapText="1"/>
    </xf>
    <xf numFmtId="0" fontId="27" fillId="0" borderId="0" xfId="4" applyAlignment="1"/>
    <xf numFmtId="0" fontId="4" fillId="0" borderId="0" xfId="0" applyFont="1" applyAlignment="1">
      <alignment wrapText="1"/>
    </xf>
    <xf numFmtId="0" fontId="0" fillId="0" borderId="0" xfId="0" applyAlignment="1"/>
    <xf numFmtId="0" fontId="4" fillId="0" borderId="0" xfId="0" applyFont="1" applyFill="1" applyBorder="1" applyAlignment="1"/>
    <xf numFmtId="166" fontId="7" fillId="0" borderId="0" xfId="0" applyNumberFormat="1" applyFont="1" applyFill="1"/>
    <xf numFmtId="166" fontId="6" fillId="0" borderId="0" xfId="0" applyNumberFormat="1" applyFont="1" applyFill="1" applyProtection="1"/>
    <xf numFmtId="0" fontId="7" fillId="0" borderId="10" xfId="0" applyFont="1" applyBorder="1" applyAlignment="1">
      <alignment horizontal="center"/>
    </xf>
    <xf numFmtId="0" fontId="0" fillId="0" borderId="10" xfId="0" applyBorder="1" applyAlignment="1">
      <alignment horizontal="center"/>
    </xf>
    <xf numFmtId="0" fontId="20" fillId="0" borderId="10" xfId="0" applyFont="1" applyBorder="1" applyAlignment="1">
      <alignment horizontal="center"/>
    </xf>
    <xf numFmtId="0" fontId="29" fillId="0" borderId="10" xfId="0" applyFont="1" applyBorder="1" applyAlignment="1">
      <alignment horizontal="center"/>
    </xf>
    <xf numFmtId="0" fontId="1" fillId="0" borderId="10" xfId="0" applyFont="1" applyBorder="1" applyAlignment="1">
      <alignment horizontal="center"/>
    </xf>
    <xf numFmtId="0" fontId="4" fillId="0" borderId="1" xfId="0" applyFont="1" applyBorder="1" applyAlignment="1"/>
    <xf numFmtId="0" fontId="0" fillId="0" borderId="2" xfId="0" applyBorder="1" applyAlignment="1"/>
    <xf numFmtId="0" fontId="4" fillId="0" borderId="0" xfId="0" applyFont="1" applyAlignment="1">
      <alignment wrapText="1"/>
    </xf>
    <xf numFmtId="0" fontId="0" fillId="0" borderId="0" xfId="0" applyAlignment="1">
      <alignment wrapText="1"/>
    </xf>
    <xf numFmtId="0" fontId="33" fillId="0" borderId="0" xfId="4" applyFont="1" applyAlignment="1">
      <alignment wrapText="1"/>
    </xf>
    <xf numFmtId="0" fontId="5" fillId="0" borderId="0" xfId="4" applyFont="1" applyAlignment="1">
      <alignment wrapText="1"/>
    </xf>
    <xf numFmtId="0" fontId="35" fillId="0" borderId="0" xfId="4" applyFont="1" applyAlignment="1">
      <alignment wrapText="1"/>
    </xf>
    <xf numFmtId="0" fontId="31" fillId="0" borderId="0" xfId="4" applyFont="1" applyAlignment="1" applyProtection="1">
      <alignment wrapText="1"/>
      <protection locked="0"/>
    </xf>
    <xf numFmtId="0" fontId="4" fillId="0" borderId="0" xfId="0" applyFont="1" applyAlignment="1" applyProtection="1">
      <alignment wrapText="1"/>
      <protection locked="0"/>
    </xf>
    <xf numFmtId="0" fontId="20" fillId="0" borderId="4" xfId="0" applyFont="1" applyBorder="1" applyAlignment="1" applyProtection="1">
      <alignment horizontal="center"/>
      <protection locked="0"/>
    </xf>
    <xf numFmtId="0" fontId="20" fillId="0" borderId="10" xfId="0" applyFont="1" applyBorder="1" applyAlignment="1" applyProtection="1">
      <alignment horizontal="center"/>
      <protection locked="0"/>
    </xf>
    <xf numFmtId="0" fontId="30" fillId="0" borderId="4" xfId="0" applyFont="1" applyBorder="1" applyAlignment="1" applyProtection="1">
      <alignment horizontal="center"/>
      <protection locked="0"/>
    </xf>
    <xf numFmtId="0" fontId="30" fillId="0" borderId="10" xfId="0" applyFont="1" applyBorder="1" applyAlignment="1" applyProtection="1">
      <alignment horizontal="center"/>
      <protection locked="0"/>
    </xf>
    <xf numFmtId="0" fontId="17" fillId="0" borderId="0" xfId="0" applyFont="1" applyAlignment="1" applyProtection="1">
      <alignment wrapText="1"/>
      <protection locked="0"/>
    </xf>
    <xf numFmtId="0" fontId="17" fillId="0" borderId="0" xfId="0" applyFont="1" applyAlignment="1" applyProtection="1">
      <protection locked="0"/>
    </xf>
    <xf numFmtId="0" fontId="7" fillId="0" borderId="5" xfId="0" applyFont="1" applyBorder="1" applyAlignment="1" applyProtection="1">
      <alignment horizontal="center"/>
      <protection locked="0"/>
    </xf>
    <xf numFmtId="0" fontId="0" fillId="0" borderId="11" xfId="0" applyBorder="1" applyAlignment="1" applyProtection="1">
      <alignment horizontal="center"/>
      <protection locked="0"/>
    </xf>
    <xf numFmtId="0" fontId="0" fillId="0" borderId="7" xfId="0" applyBorder="1" applyAlignment="1" applyProtection="1">
      <alignment horizontal="center"/>
      <protection locked="0"/>
    </xf>
    <xf numFmtId="0" fontId="20" fillId="0" borderId="5" xfId="0" applyFont="1" applyBorder="1" applyAlignment="1" applyProtection="1">
      <alignment horizontal="center"/>
      <protection locked="0"/>
    </xf>
    <xf numFmtId="0" fontId="30" fillId="0" borderId="11" xfId="0" applyFont="1" applyBorder="1" applyAlignment="1" applyProtection="1">
      <alignment horizontal="center"/>
      <protection locked="0"/>
    </xf>
    <xf numFmtId="0" fontId="0" fillId="0" borderId="0" xfId="0" applyAlignment="1" applyProtection="1">
      <alignment wrapText="1"/>
      <protection locked="0"/>
    </xf>
    <xf numFmtId="0" fontId="45" fillId="5" borderId="5" xfId="0" applyFont="1" applyFill="1" applyBorder="1" applyAlignment="1">
      <alignment horizontal="center"/>
    </xf>
    <xf numFmtId="0" fontId="46" fillId="0" borderId="11" xfId="0" applyFont="1" applyBorder="1" applyAlignment="1">
      <alignment horizontal="center"/>
    </xf>
    <xf numFmtId="0" fontId="46" fillId="0" borderId="7" xfId="0" applyFont="1" applyBorder="1" applyAlignment="1">
      <alignment horizontal="center"/>
    </xf>
    <xf numFmtId="11" fontId="7" fillId="0" borderId="5" xfId="0" applyNumberFormat="1" applyFont="1" applyBorder="1" applyAlignment="1" applyProtection="1">
      <alignment horizontal="center"/>
      <protection locked="0"/>
    </xf>
    <xf numFmtId="11" fontId="0" fillId="0" borderId="11" xfId="0" applyNumberFormat="1" applyBorder="1" applyAlignment="1">
      <alignment horizontal="center"/>
    </xf>
    <xf numFmtId="11" fontId="0" fillId="0" borderId="7" xfId="0" applyNumberFormat="1" applyBorder="1" applyAlignment="1">
      <alignment horizontal="center"/>
    </xf>
    <xf numFmtId="0" fontId="1" fillId="0" borderId="10" xfId="0" applyFont="1" applyBorder="1" applyAlignment="1" applyProtection="1">
      <alignment horizontal="center" wrapText="1"/>
      <protection locked="0"/>
    </xf>
    <xf numFmtId="0" fontId="1" fillId="0" borderId="10" xfId="0" applyFont="1" applyBorder="1" applyProtection="1">
      <protection locked="0"/>
    </xf>
    <xf numFmtId="0" fontId="1" fillId="0" borderId="0" xfId="0" applyFont="1" applyAlignment="1" applyProtection="1">
      <alignment horizontal="center" wrapText="1"/>
      <protection locked="0"/>
    </xf>
    <xf numFmtId="0" fontId="1" fillId="0" borderId="7" xfId="0" applyFont="1" applyBorder="1" applyAlignment="1" applyProtection="1">
      <alignment horizontal="center" wrapText="1"/>
      <protection locked="0"/>
    </xf>
    <xf numFmtId="0" fontId="20" fillId="0" borderId="10" xfId="0" applyFont="1" applyBorder="1" applyAlignment="1" applyProtection="1">
      <alignment horizontal="left"/>
      <protection locked="0"/>
    </xf>
    <xf numFmtId="0" fontId="1" fillId="0" borderId="10" xfId="0" applyFont="1" applyBorder="1" applyAlignment="1" applyProtection="1">
      <alignment horizontal="left"/>
      <protection locked="0"/>
    </xf>
    <xf numFmtId="0" fontId="7" fillId="0" borderId="0" xfId="0" applyFont="1" applyAlignment="1" applyProtection="1">
      <alignment horizontal="center"/>
      <protection locked="0"/>
    </xf>
    <xf numFmtId="0" fontId="0" fillId="0" borderId="0" xfId="0" applyAlignment="1" applyProtection="1">
      <alignment horizontal="center"/>
      <protection locked="0"/>
    </xf>
    <xf numFmtId="0" fontId="7" fillId="0" borderId="10" xfId="0" applyFont="1" applyBorder="1" applyAlignment="1" applyProtection="1">
      <alignment horizontal="center"/>
      <protection locked="0"/>
    </xf>
    <xf numFmtId="3" fontId="7" fillId="0" borderId="10" xfId="0" applyNumberFormat="1" applyFont="1" applyBorder="1" applyAlignment="1" applyProtection="1">
      <alignment horizontal="center"/>
      <protection locked="0"/>
    </xf>
    <xf numFmtId="0" fontId="1" fillId="0" borderId="10" xfId="0" applyFont="1" applyBorder="1" applyAlignment="1" applyProtection="1">
      <alignment horizontal="center"/>
      <protection locked="0"/>
    </xf>
    <xf numFmtId="0" fontId="31" fillId="0" borderId="0" xfId="4" applyFont="1" applyAlignment="1">
      <alignment wrapText="1"/>
    </xf>
    <xf numFmtId="0" fontId="7" fillId="0" borderId="4" xfId="0" applyFont="1" applyBorder="1" applyAlignment="1" applyProtection="1">
      <alignment horizontal="center" wrapText="1"/>
      <protection locked="0"/>
    </xf>
    <xf numFmtId="0" fontId="0" fillId="0" borderId="4" xfId="0" applyBorder="1" applyAlignment="1" applyProtection="1">
      <alignment horizontal="center" wrapText="1"/>
      <protection locked="0"/>
    </xf>
    <xf numFmtId="0" fontId="7" fillId="0" borderId="0" xfId="0" applyNumberFormat="1" applyFont="1" applyAlignment="1">
      <alignment horizontal="right"/>
    </xf>
    <xf numFmtId="0" fontId="7" fillId="0" borderId="0" xfId="0" applyFont="1" applyAlignment="1">
      <alignment horizontal="right"/>
    </xf>
    <xf numFmtId="0" fontId="7" fillId="0" borderId="4" xfId="0" applyFont="1" applyBorder="1" applyAlignment="1">
      <alignment horizontal="center" wrapText="1"/>
    </xf>
    <xf numFmtId="0" fontId="7" fillId="0" borderId="1" xfId="0" applyFont="1" applyBorder="1" applyAlignment="1">
      <alignment horizontal="center" wrapText="1"/>
    </xf>
    <xf numFmtId="0" fontId="7" fillId="0" borderId="2" xfId="0" applyFont="1" applyBorder="1" applyAlignment="1">
      <alignment horizontal="center" wrapText="1"/>
    </xf>
    <xf numFmtId="0" fontId="4" fillId="0" borderId="0" xfId="0" applyFont="1" applyAlignment="1">
      <alignment horizontal="right"/>
    </xf>
    <xf numFmtId="0" fontId="4" fillId="0" borderId="4" xfId="0" applyFont="1" applyBorder="1" applyAlignment="1">
      <alignment horizontal="center" wrapText="1"/>
    </xf>
    <xf numFmtId="0" fontId="20" fillId="0" borderId="4" xfId="0" applyFont="1" applyBorder="1" applyAlignment="1">
      <alignment horizontal="left"/>
    </xf>
    <xf numFmtId="0" fontId="1" fillId="0" borderId="4" xfId="0" applyFont="1" applyBorder="1" applyAlignment="1">
      <alignment horizontal="left"/>
    </xf>
    <xf numFmtId="0" fontId="1" fillId="0" borderId="10" xfId="0" applyFont="1" applyBorder="1" applyAlignment="1">
      <alignment horizontal="left"/>
    </xf>
    <xf numFmtId="0" fontId="7" fillId="0" borderId="4" xfId="0" applyFont="1" applyBorder="1" applyAlignment="1">
      <alignment horizontal="center"/>
    </xf>
    <xf numFmtId="0" fontId="0" fillId="0" borderId="4" xfId="0" applyBorder="1" applyAlignment="1">
      <alignment horizontal="center" wrapText="1"/>
    </xf>
    <xf numFmtId="49" fontId="4" fillId="0" borderId="7" xfId="6" applyFont="1">
      <alignment horizontal="left" wrapText="1"/>
    </xf>
    <xf numFmtId="166" fontId="4" fillId="0" borderId="1" xfId="0" applyNumberFormat="1" applyFont="1" applyBorder="1" applyAlignment="1">
      <alignment wrapText="1"/>
    </xf>
    <xf numFmtId="166" fontId="0" fillId="0" borderId="2" xfId="0" applyNumberFormat="1" applyBorder="1" applyAlignment="1">
      <alignment wrapText="1"/>
    </xf>
    <xf numFmtId="166" fontId="4" fillId="0" borderId="1" xfId="0" applyNumberFormat="1" applyFont="1" applyBorder="1" applyAlignment="1">
      <alignment horizontal="center" wrapText="1"/>
    </xf>
    <xf numFmtId="166" fontId="0" fillId="0" borderId="2" xfId="0" applyNumberFormat="1" applyBorder="1" applyAlignment="1">
      <alignment horizontal="center" wrapText="1"/>
    </xf>
    <xf numFmtId="166" fontId="4" fillId="0" borderId="4" xfId="0" applyNumberFormat="1" applyFont="1" applyBorder="1" applyAlignment="1">
      <alignment wrapText="1"/>
    </xf>
    <xf numFmtId="0" fontId="7" fillId="0" borderId="4" xfId="0" applyNumberFormat="1" applyFont="1" applyBorder="1" applyAlignment="1">
      <alignment horizontal="center" wrapText="1"/>
    </xf>
    <xf numFmtId="0" fontId="7" fillId="0" borderId="5" xfId="0" applyFont="1" applyBorder="1" applyAlignment="1">
      <alignment horizontal="center" wrapText="1"/>
    </xf>
    <xf numFmtId="0" fontId="0" fillId="0" borderId="7" xfId="0" applyBorder="1" applyAlignment="1">
      <alignment horizontal="center" wrapText="1"/>
    </xf>
    <xf numFmtId="0" fontId="21" fillId="0" borderId="0" xfId="0"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7" fontId="4" fillId="0" borderId="4" xfId="0" applyNumberFormat="1" applyFont="1" applyFill="1" applyBorder="1" applyProtection="1">
      <protection locked="0"/>
    </xf>
    <xf numFmtId="166" fontId="4" fillId="0" borderId="4" xfId="0" applyNumberFormat="1" applyFont="1" applyFill="1" applyBorder="1" applyProtection="1">
      <protection locked="0"/>
    </xf>
  </cellXfs>
  <cellStyles count="9">
    <cellStyle name="Column Heading" xfId="5" xr:uid="{00000000-0005-0000-0000-000000000000}"/>
    <cellStyle name="Data" xfId="8" xr:uid="{00000000-0005-0000-0000-000001000000}"/>
    <cellStyle name="Hyperlink" xfId="4" builtinId="8"/>
    <cellStyle name="indent-2" xfId="3" xr:uid="{00000000-0005-0000-0000-000003000000}"/>
    <cellStyle name="Normal" xfId="0" builtinId="0"/>
    <cellStyle name="Normal 2" xfId="2" xr:uid="{00000000-0005-0000-0000-000005000000}"/>
    <cellStyle name="Normal_Sheet1" xfId="1" xr:uid="{00000000-0005-0000-0000-000006000000}"/>
    <cellStyle name="Row Stub" xfId="7" xr:uid="{00000000-0005-0000-0000-000007000000}"/>
    <cellStyle name="Stub Heading" xfId="6" xr:uid="{00000000-0005-0000-0000-000008000000}"/>
  </cellStyles>
  <dxfs count="3">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7C80"/>
      <color rgb="FFFF66CC"/>
      <color rgb="FFFF0066"/>
      <color rgb="FFFCDBD8"/>
      <color rgb="FFFF9999"/>
      <color rgb="FFFF6600"/>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Health Taxes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7611935491662694E-2"/>
          <c:y val="0.16053062385634673"/>
          <c:w val="0.86601618547681536"/>
          <c:h val="0.55030869172849461"/>
        </c:manualLayout>
      </c:layout>
      <c:lineChart>
        <c:grouping val="standard"/>
        <c:varyColors val="0"/>
        <c:ser>
          <c:idx val="0"/>
          <c:order val="0"/>
          <c:spPr>
            <a:ln w="28575" cap="rnd">
              <a:solidFill>
                <a:schemeClr val="accent1"/>
              </a:solidFill>
              <a:round/>
            </a:ln>
            <a:effectLst/>
          </c:spPr>
          <c:marker>
            <c:symbol val="none"/>
          </c:marker>
          <c:cat>
            <c:strRef>
              <c:f>'IV(A). Financing by Income Tax'!$E$7:$E$16</c:f>
              <c:strCache>
                <c:ptCount val="10"/>
                <c:pt idx="0">
                  <c:v>Under 1$</c:v>
                </c:pt>
                <c:pt idx="1">
                  <c:v>$1 under $10,000</c:v>
                </c:pt>
                <c:pt idx="2">
                  <c:v>$10,000 under $25,000</c:v>
                </c:pt>
                <c:pt idx="3">
                  <c:v>$25,000 under $50,000</c:v>
                </c:pt>
                <c:pt idx="4">
                  <c:v>$50,000 under $75,000</c:v>
                </c:pt>
                <c:pt idx="5">
                  <c:v>$75,000 under $100,000</c:v>
                </c:pt>
                <c:pt idx="6">
                  <c:v>$100,000 under $200,000</c:v>
                </c:pt>
                <c:pt idx="7">
                  <c:v>$200,000 under $500,000</c:v>
                </c:pt>
                <c:pt idx="8">
                  <c:v>$500,000 under $1,000,000</c:v>
                </c:pt>
                <c:pt idx="9">
                  <c:v>$1,000,000 or more</c:v>
                </c:pt>
              </c:strCache>
            </c:strRef>
          </c:cat>
          <c:val>
            <c:numRef>
              <c:f>'IV(A). Financing by Income Tax'!$F$7:$F$16</c:f>
              <c:numCache>
                <c:formatCode>0.0%</c:formatCode>
                <c:ptCount val="10"/>
                <c:pt idx="0">
                  <c:v>5.6568961522995398E-2</c:v>
                </c:pt>
                <c:pt idx="1">
                  <c:v>6.5601464218670594E-2</c:v>
                </c:pt>
                <c:pt idx="2">
                  <c:v>8.8802443973768172E-2</c:v>
                </c:pt>
                <c:pt idx="3">
                  <c:v>0.119596644414108</c:v>
                </c:pt>
                <c:pt idx="4">
                  <c:v>0.13971452537505061</c:v>
                </c:pt>
                <c:pt idx="5">
                  <c:v>0.14678890511451786</c:v>
                </c:pt>
                <c:pt idx="6">
                  <c:v>0.14969890391663021</c:v>
                </c:pt>
                <c:pt idx="7">
                  <c:v>0.14982419703206576</c:v>
                </c:pt>
                <c:pt idx="8">
                  <c:v>0.14983541164737504</c:v>
                </c:pt>
                <c:pt idx="9">
                  <c:v>0.14983541164737504</c:v>
                </c:pt>
              </c:numCache>
            </c:numRef>
          </c:val>
          <c:smooth val="1"/>
          <c:extLst>
            <c:ext xmlns:c16="http://schemas.microsoft.com/office/drawing/2014/chart" uri="{C3380CC4-5D6E-409C-BE32-E72D297353CC}">
              <c16:uniqueId val="{00000000-1EE8-4792-BCAD-03260E74ED95}"/>
            </c:ext>
          </c:extLst>
        </c:ser>
        <c:dLbls>
          <c:showLegendKey val="0"/>
          <c:showVal val="0"/>
          <c:showCatName val="0"/>
          <c:showSerName val="0"/>
          <c:showPercent val="0"/>
          <c:showBubbleSize val="0"/>
        </c:dLbls>
        <c:smooth val="0"/>
        <c:axId val="359272216"/>
        <c:axId val="359277792"/>
      </c:lineChart>
      <c:catAx>
        <c:axId val="359272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9277792"/>
        <c:crosses val="autoZero"/>
        <c:auto val="1"/>
        <c:lblAlgn val="ctr"/>
        <c:lblOffset val="100"/>
        <c:noMultiLvlLbl val="0"/>
      </c:catAx>
      <c:valAx>
        <c:axId val="35927779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9272216"/>
        <c:crosses val="autoZero"/>
        <c:crossBetween val="between"/>
      </c:valAx>
      <c:spPr>
        <a:noFill/>
        <a:ln>
          <a:noFill/>
        </a:ln>
        <a:effectLst/>
      </c:spPr>
    </c:plotArea>
    <c:plotVisOnly val="1"/>
    <c:dispBlanksAs val="gap"/>
    <c:showDLblsOverMax val="0"/>
  </c:chart>
  <c:spPr>
    <a:solidFill>
      <a:schemeClr val="accent5">
        <a:lumMod val="20000"/>
        <a:lumOff val="80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'IV(B). Financing by Payroll Tax'!$F$5</c:f>
              <c:strCache>
                <c:ptCount val="1"/>
                <c:pt idx="0">
                  <c:v>Employee Tax Rate</c:v>
                </c:pt>
              </c:strCache>
            </c:strRef>
          </c:tx>
          <c:spPr>
            <a:ln w="28575" cap="rnd">
              <a:solidFill>
                <a:schemeClr val="accent1"/>
              </a:solidFill>
              <a:round/>
            </a:ln>
            <a:effectLst/>
          </c:spPr>
          <c:marker>
            <c:symbol val="none"/>
          </c:marker>
          <c:cat>
            <c:strRef>
              <c:f>'IV(B). Financing by Payroll Tax'!$E$6:$E$17</c:f>
              <c:strCache>
                <c:ptCount val="12"/>
                <c:pt idx="0">
                  <c:v>$1 under $10,000</c:v>
                </c:pt>
                <c:pt idx="1">
                  <c:v>$10,000 under  $20,000</c:v>
                </c:pt>
                <c:pt idx="2">
                  <c:v>$20,000 under  $30,000</c:v>
                </c:pt>
                <c:pt idx="3">
                  <c:v>$30,000 under  $40,000</c:v>
                </c:pt>
                <c:pt idx="4">
                  <c:v>$40,000 under  $50,000</c:v>
                </c:pt>
                <c:pt idx="5">
                  <c:v>$50,000 under  $60,000</c:v>
                </c:pt>
                <c:pt idx="6">
                  <c:v>$60,000 under  $70,000</c:v>
                </c:pt>
                <c:pt idx="7">
                  <c:v>$70,000 under  $80,000</c:v>
                </c:pt>
                <c:pt idx="8">
                  <c:v>$80,000 under  $90,000</c:v>
                </c:pt>
                <c:pt idx="9">
                  <c:v>$90,000 under  $100,000</c:v>
                </c:pt>
                <c:pt idx="10">
                  <c:v>$100,000 under $117,000 </c:v>
                </c:pt>
                <c:pt idx="11">
                  <c:v>$117,000 &amp; above</c:v>
                </c:pt>
              </c:strCache>
            </c:strRef>
          </c:cat>
          <c:val>
            <c:numRef>
              <c:f>'IV(B). Financing by Payroll Tax'!$F$6:$F$17</c:f>
              <c:numCache>
                <c:formatCode>0.0%</c:formatCode>
                <c:ptCount val="12"/>
                <c:pt idx="0">
                  <c:v>1.0025717132373877E-2</c:v>
                </c:pt>
                <c:pt idx="1">
                  <c:v>1.2873275618489794E-2</c:v>
                </c:pt>
                <c:pt idx="2">
                  <c:v>1.555250810895834E-2</c:v>
                </c:pt>
                <c:pt idx="3">
                  <c:v>1.7799383886286588E-2</c:v>
                </c:pt>
                <c:pt idx="4">
                  <c:v>1.9508861036350335E-2</c:v>
                </c:pt>
                <c:pt idx="5">
                  <c:v>2.0715586045340233E-2</c:v>
                </c:pt>
                <c:pt idx="6">
                  <c:v>2.1523068984105387E-2</c:v>
                </c:pt>
                <c:pt idx="7">
                  <c:v>2.2044244628158148E-2</c:v>
                </c:pt>
                <c:pt idx="8">
                  <c:v>2.237283412386008E-2</c:v>
                </c:pt>
                <c:pt idx="9">
                  <c:v>2.2576949857149541E-2</c:v>
                </c:pt>
                <c:pt idx="10">
                  <c:v>2.2702576974554443E-2</c:v>
                </c:pt>
                <c:pt idx="11">
                  <c:v>2.2790778692238754E-2</c:v>
                </c:pt>
              </c:numCache>
            </c:numRef>
          </c:val>
          <c:smooth val="0"/>
          <c:extLst>
            <c:ext xmlns:c16="http://schemas.microsoft.com/office/drawing/2014/chart" uri="{C3380CC4-5D6E-409C-BE32-E72D297353CC}">
              <c16:uniqueId val="{00000000-57B8-41C1-8475-2CA3CEF492AD}"/>
            </c:ext>
          </c:extLst>
        </c:ser>
        <c:ser>
          <c:idx val="1"/>
          <c:order val="1"/>
          <c:tx>
            <c:strRef>
              <c:f>'IV(B). Financing by Payroll Tax'!$G$5</c:f>
              <c:strCache>
                <c:ptCount val="1"/>
                <c:pt idx="0">
                  <c:v>Employer Tax Rate</c:v>
                </c:pt>
              </c:strCache>
            </c:strRef>
          </c:tx>
          <c:spPr>
            <a:ln w="28575" cap="rnd">
              <a:solidFill>
                <a:schemeClr val="accent2"/>
              </a:solidFill>
              <a:round/>
            </a:ln>
            <a:effectLst/>
          </c:spPr>
          <c:marker>
            <c:symbol val="none"/>
          </c:marker>
          <c:cat>
            <c:strRef>
              <c:f>'IV(B). Financing by Payroll Tax'!$E$6:$E$17</c:f>
              <c:strCache>
                <c:ptCount val="12"/>
                <c:pt idx="0">
                  <c:v>$1 under $10,000</c:v>
                </c:pt>
                <c:pt idx="1">
                  <c:v>$10,000 under  $20,000</c:v>
                </c:pt>
                <c:pt idx="2">
                  <c:v>$20,000 under  $30,000</c:v>
                </c:pt>
                <c:pt idx="3">
                  <c:v>$30,000 under  $40,000</c:v>
                </c:pt>
                <c:pt idx="4">
                  <c:v>$40,000 under  $50,000</c:v>
                </c:pt>
                <c:pt idx="5">
                  <c:v>$50,000 under  $60,000</c:v>
                </c:pt>
                <c:pt idx="6">
                  <c:v>$60,000 under  $70,000</c:v>
                </c:pt>
                <c:pt idx="7">
                  <c:v>$70,000 under  $80,000</c:v>
                </c:pt>
                <c:pt idx="8">
                  <c:v>$80,000 under  $90,000</c:v>
                </c:pt>
                <c:pt idx="9">
                  <c:v>$90,000 under  $100,000</c:v>
                </c:pt>
                <c:pt idx="10">
                  <c:v>$100,000 under $117,000 </c:v>
                </c:pt>
                <c:pt idx="11">
                  <c:v>$117,000 &amp; above</c:v>
                </c:pt>
              </c:strCache>
            </c:strRef>
          </c:cat>
          <c:val>
            <c:numRef>
              <c:f>'IV(B). Financing by Payroll Tax'!$G$6:$G$17</c:f>
              <c:numCache>
                <c:formatCode>0.0%</c:formatCode>
                <c:ptCount val="12"/>
                <c:pt idx="0">
                  <c:v>4.0102868529495517E-2</c:v>
                </c:pt>
                <c:pt idx="1">
                  <c:v>5.149310247395919E-2</c:v>
                </c:pt>
                <c:pt idx="2">
                  <c:v>6.2210032435833375E-2</c:v>
                </c:pt>
                <c:pt idx="3">
                  <c:v>7.1197535545146379E-2</c:v>
                </c:pt>
                <c:pt idx="4">
                  <c:v>7.8035444145401367E-2</c:v>
                </c:pt>
                <c:pt idx="5">
                  <c:v>8.2862344181360958E-2</c:v>
                </c:pt>
                <c:pt idx="6">
                  <c:v>8.6092275936421575E-2</c:v>
                </c:pt>
                <c:pt idx="7">
                  <c:v>8.817697851263262E-2</c:v>
                </c:pt>
                <c:pt idx="8">
                  <c:v>8.9491336495440346E-2</c:v>
                </c:pt>
                <c:pt idx="9">
                  <c:v>9.0307799428598179E-2</c:v>
                </c:pt>
                <c:pt idx="10">
                  <c:v>9.0810307898217799E-2</c:v>
                </c:pt>
                <c:pt idx="11">
                  <c:v>9.1163114768955042E-2</c:v>
                </c:pt>
              </c:numCache>
            </c:numRef>
          </c:val>
          <c:smooth val="0"/>
          <c:extLst>
            <c:ext xmlns:c16="http://schemas.microsoft.com/office/drawing/2014/chart" uri="{C3380CC4-5D6E-409C-BE32-E72D297353CC}">
              <c16:uniqueId val="{00000001-57B8-41C1-8475-2CA3CEF492AD}"/>
            </c:ext>
          </c:extLst>
        </c:ser>
        <c:dLbls>
          <c:showLegendKey val="0"/>
          <c:showVal val="0"/>
          <c:showCatName val="0"/>
          <c:showSerName val="0"/>
          <c:showPercent val="0"/>
          <c:showBubbleSize val="0"/>
        </c:dLbls>
        <c:smooth val="0"/>
        <c:axId val="526627808"/>
        <c:axId val="526629776"/>
      </c:lineChart>
      <c:catAx>
        <c:axId val="526627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6629776"/>
        <c:crosses val="autoZero"/>
        <c:auto val="1"/>
        <c:lblAlgn val="ctr"/>
        <c:lblOffset val="100"/>
        <c:noMultiLvlLbl val="0"/>
      </c:catAx>
      <c:valAx>
        <c:axId val="52662977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6627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Radio" checked="Checked" firstButton="1" fmlaLink="$I$62" lockText="1" noThreeD="1"/>
</file>

<file path=xl/ctrlProps/ctrlProp10.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firstButton="1" fmlaLink="$I$63"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firstButton="1" fmlaLink="$N$20"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checked="Checked" firstButton="1" fmlaLink="$L$21" lockText="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9</xdr:row>
          <xdr:rowOff>95250</xdr:rowOff>
        </xdr:from>
        <xdr:to>
          <xdr:col>1</xdr:col>
          <xdr:colOff>561975</xdr:colOff>
          <xdr:row>9</xdr:row>
          <xdr:rowOff>295275</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500-0000010C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9</xdr:row>
          <xdr:rowOff>66675</xdr:rowOff>
        </xdr:from>
        <xdr:to>
          <xdr:col>1</xdr:col>
          <xdr:colOff>904875</xdr:colOff>
          <xdr:row>9</xdr:row>
          <xdr:rowOff>333375</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5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xdr:row>
          <xdr:rowOff>19050</xdr:rowOff>
        </xdr:from>
        <xdr:to>
          <xdr:col>1</xdr:col>
          <xdr:colOff>1000125</xdr:colOff>
          <xdr:row>9</xdr:row>
          <xdr:rowOff>390525</xdr:rowOff>
        </xdr:to>
        <xdr:sp macro="" textlink="">
          <xdr:nvSpPr>
            <xdr:cNvPr id="3075" name="Group Box 3" hidden="1">
              <a:extLst>
                <a:ext uri="{63B3BB69-23CF-44E3-9099-C40C66FF867C}">
                  <a14:compatExt spid="_x0000_s3075"/>
                </a:ext>
                <a:ext uri="{FF2B5EF4-FFF2-40B4-BE49-F238E27FC236}">
                  <a16:creationId xmlns:a16="http://schemas.microsoft.com/office/drawing/2014/main" id="{00000000-0008-0000-0500-00000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MD Fees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xdr:row>
          <xdr:rowOff>209550</xdr:rowOff>
        </xdr:from>
        <xdr:to>
          <xdr:col>1</xdr:col>
          <xdr:colOff>933450</xdr:colOff>
          <xdr:row>21</xdr:row>
          <xdr:rowOff>228600</xdr:rowOff>
        </xdr:to>
        <xdr:sp macro="" textlink="">
          <xdr:nvSpPr>
            <xdr:cNvPr id="3076" name="Group Box 4" hidden="1">
              <a:extLst>
                <a:ext uri="{63B3BB69-23CF-44E3-9099-C40C66FF867C}">
                  <a14:compatExt spid="_x0000_s3076"/>
                </a:ext>
                <a:ext uri="{FF2B5EF4-FFF2-40B4-BE49-F238E27FC236}">
                  <a16:creationId xmlns:a16="http://schemas.microsoft.com/office/drawing/2014/main" id="{00000000-0008-0000-0500-00000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LTC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47625</xdr:rowOff>
        </xdr:from>
        <xdr:to>
          <xdr:col>1</xdr:col>
          <xdr:colOff>485775</xdr:colOff>
          <xdr:row>21</xdr:row>
          <xdr:rowOff>180975</xdr:rowOff>
        </xdr:to>
        <xdr:sp macro="" textlink="">
          <xdr:nvSpPr>
            <xdr:cNvPr id="3077" name="Option Button 5" hidden="1">
              <a:extLst>
                <a:ext uri="{63B3BB69-23CF-44E3-9099-C40C66FF867C}">
                  <a14:compatExt spid="_x0000_s3077"/>
                </a:ext>
                <a:ext uri="{FF2B5EF4-FFF2-40B4-BE49-F238E27FC236}">
                  <a16:creationId xmlns:a16="http://schemas.microsoft.com/office/drawing/2014/main" id="{00000000-0008-0000-05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21</xdr:row>
          <xdr:rowOff>0</xdr:rowOff>
        </xdr:from>
        <xdr:to>
          <xdr:col>1</xdr:col>
          <xdr:colOff>885825</xdr:colOff>
          <xdr:row>21</xdr:row>
          <xdr:rowOff>219075</xdr:rowOff>
        </xdr:to>
        <xdr:sp macro="" textlink="">
          <xdr:nvSpPr>
            <xdr:cNvPr id="3090" name="Option Button 18" hidden="1">
              <a:extLst>
                <a:ext uri="{63B3BB69-23CF-44E3-9099-C40C66FF867C}">
                  <a14:compatExt spid="_x0000_s3090"/>
                </a:ext>
                <a:ext uri="{FF2B5EF4-FFF2-40B4-BE49-F238E27FC236}">
                  <a16:creationId xmlns:a16="http://schemas.microsoft.com/office/drawing/2014/main" id="{00000000-0008-0000-05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157162</xdr:colOff>
      <xdr:row>22</xdr:row>
      <xdr:rowOff>38099</xdr:rowOff>
    </xdr:from>
    <xdr:to>
      <xdr:col>10</xdr:col>
      <xdr:colOff>657225</xdr:colOff>
      <xdr:row>40</xdr:row>
      <xdr:rowOff>114300</xdr:rowOff>
    </xdr:to>
    <xdr:graphicFrame macro="">
      <xdr:nvGraphicFramePr>
        <xdr:cNvPr id="4" name="Chart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38100</xdr:colOff>
          <xdr:row>17</xdr:row>
          <xdr:rowOff>9525</xdr:rowOff>
        </xdr:from>
        <xdr:to>
          <xdr:col>1</xdr:col>
          <xdr:colOff>533400</xdr:colOff>
          <xdr:row>17</xdr:row>
          <xdr:rowOff>209550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6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17</xdr:row>
          <xdr:rowOff>0</xdr:rowOff>
        </xdr:from>
        <xdr:to>
          <xdr:col>1</xdr:col>
          <xdr:colOff>933450</xdr:colOff>
          <xdr:row>18</xdr:row>
          <xdr:rowOff>9525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6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17</xdr:row>
          <xdr:rowOff>0</xdr:rowOff>
        </xdr:from>
        <xdr:to>
          <xdr:col>1</xdr:col>
          <xdr:colOff>514350</xdr:colOff>
          <xdr:row>17</xdr:row>
          <xdr:rowOff>200025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700-00000108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16</xdr:row>
          <xdr:rowOff>171450</xdr:rowOff>
        </xdr:from>
        <xdr:to>
          <xdr:col>1</xdr:col>
          <xdr:colOff>962025</xdr:colOff>
          <xdr:row>17</xdr:row>
          <xdr:rowOff>209550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7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twoCellAnchor>
    <xdr:from>
      <xdr:col>5</xdr:col>
      <xdr:colOff>4761</xdr:colOff>
      <xdr:row>24</xdr:row>
      <xdr:rowOff>166687</xdr:rowOff>
    </xdr:from>
    <xdr:to>
      <xdr:col>10</xdr:col>
      <xdr:colOff>428624</xdr:colOff>
      <xdr:row>34</xdr:row>
      <xdr:rowOff>142875</xdr:rowOff>
    </xdr:to>
    <xdr:graphicFrame macro="">
      <xdr:nvGraphicFramePr>
        <xdr:cNvPr id="3" name="Chart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ms.gov/Research-Statistics-Data-and-Systems/Statistics-Trends-and-Reports/NationalHealthExpendData/NationalHealthAccountsProjected.html" TargetMode="External"/><Relationship Id="rId1" Type="http://schemas.openxmlformats.org/officeDocument/2006/relationships/hyperlink" Target="https://www.cms.gov/Research-Statistics-Data-and-Systems/Statistics-Trends-and-Reports/NationalHealthExpendData/NationalHealthAccountsProjected.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infoshare.org/main/Economic_Analysis_New_York_Health_Act_-_GFriedman_-_April_2015.pdf" TargetMode="External"/><Relationship Id="rId2" Type="http://schemas.openxmlformats.org/officeDocument/2006/relationships/hyperlink" Target="http://www.mckinsey.com/mgi/rp/healthcare/accounting_cost_healthcare.asp" TargetMode="External"/><Relationship Id="rId1" Type="http://schemas.openxmlformats.org/officeDocument/2006/relationships/hyperlink" Target="http://www.gao.gov/new.items/d11409t.pdf" TargetMode="External"/><Relationship Id="rId4"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5.xml"/><Relationship Id="rId3" Type="http://schemas.openxmlformats.org/officeDocument/2006/relationships/hyperlink" Target="http://www.huffingtonpost.com/steffie-woolhandler/urban-institute-errors-single-payer-costs_b_10100836.html" TargetMode="External"/><Relationship Id="rId7" Type="http://schemas.openxmlformats.org/officeDocument/2006/relationships/drawing" Target="../drawings/drawing1.xml"/><Relationship Id="rId12" Type="http://schemas.openxmlformats.org/officeDocument/2006/relationships/ctrlProp" Target="../ctrlProps/ctrlProp4.xml"/><Relationship Id="rId2" Type="http://schemas.openxmlformats.org/officeDocument/2006/relationships/hyperlink" Target="https://www.bls.gov/oes/2014/may/oes_research_estimates.htm" TargetMode="External"/><Relationship Id="rId1" Type="http://schemas.openxmlformats.org/officeDocument/2006/relationships/hyperlink" Target="http://www.kff.org/other/state-indicator/total-population/?currentTimeframe=0&amp;sortModel=%7B%22colId%22:%22Location%22,%22sort%22:%22asc%22%7D" TargetMode="External"/><Relationship Id="rId6" Type="http://schemas.openxmlformats.org/officeDocument/2006/relationships/printerSettings" Target="../printerSettings/printerSettings4.bin"/><Relationship Id="rId11" Type="http://schemas.openxmlformats.org/officeDocument/2006/relationships/ctrlProp" Target="../ctrlProps/ctrlProp3.xml"/><Relationship Id="rId5" Type="http://schemas.openxmlformats.org/officeDocument/2006/relationships/hyperlink" Target="http://www.aarp.org/ppi/info-2015/valuing-the-invaluable-2015-update.html" TargetMode="External"/><Relationship Id="rId10" Type="http://schemas.openxmlformats.org/officeDocument/2006/relationships/ctrlProp" Target="../ctrlProps/ctrlProp2.xml"/><Relationship Id="rId4" Type="http://schemas.openxmlformats.org/officeDocument/2006/relationships/hyperlink" Target="http://www.infoshare.org/main/Economic_Analysis_New_York_Health_Act_-_GFriedman_-_April_2015.pdf" TargetMode="External"/><Relationship Id="rId9" Type="http://schemas.openxmlformats.org/officeDocument/2006/relationships/ctrlProp" Target="../ctrlProps/ctrlProp1.xml"/><Relationship Id="rId14"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hyperlink" Target="http://www.nhpf.org/library/the-basics/Basics_LTSS_03-27-14.pdf" TargetMode="External"/><Relationship Id="rId7" Type="http://schemas.openxmlformats.org/officeDocument/2006/relationships/ctrlProp" Target="../ctrlProps/ctrlProp7.xml"/><Relationship Id="rId2" Type="http://schemas.openxmlformats.org/officeDocument/2006/relationships/hyperlink" Target="https://www.cbo.gov/publication/52370" TargetMode="External"/><Relationship Id="rId1" Type="http://schemas.openxmlformats.org/officeDocument/2006/relationships/hyperlink" Target="https://www.irs.gov/uac/soi-tax-stats-historic-table-2"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6.bin"/><Relationship Id="rId7" Type="http://schemas.openxmlformats.org/officeDocument/2006/relationships/ctrlProp" Target="../ctrlProps/ctrlProp10.xml"/><Relationship Id="rId2" Type="http://schemas.openxmlformats.org/officeDocument/2006/relationships/hyperlink" Target="http://www.nhpf.org/library/the-basics/Basics_LTSS_03-27-14.pdf" TargetMode="External"/><Relationship Id="rId1" Type="http://schemas.openxmlformats.org/officeDocument/2006/relationships/hyperlink" Target="https://www.irs.gov/uac/soi-tax-stats-historic-table-2" TargetMode="External"/><Relationship Id="rId6" Type="http://schemas.openxmlformats.org/officeDocument/2006/relationships/ctrlProp" Target="../ctrlProps/ctrlProp9.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85E8B-C65A-451D-959F-EF543896C66D}">
  <dimension ref="A1"/>
  <sheetViews>
    <sheetView tabSelected="1" workbookViewId="0"/>
  </sheetViews>
  <sheetFormatPr defaultRowHeight="12.75" x14ac:dyDescent="0.2"/>
  <cols>
    <col min="1" max="1" width="111.42578125" customWidth="1"/>
  </cols>
  <sheetData>
    <row r="1" spans="1:1" ht="409.5" customHeight="1" x14ac:dyDescent="0.35">
      <c r="A1" s="230" t="s">
        <v>339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0"/>
  <sheetViews>
    <sheetView workbookViewId="0"/>
  </sheetViews>
  <sheetFormatPr defaultRowHeight="12.75" x14ac:dyDescent="0.2"/>
  <cols>
    <col min="1" max="1" width="93.7109375" customWidth="1"/>
  </cols>
  <sheetData>
    <row r="1" spans="1:1" ht="18.75" x14ac:dyDescent="0.2">
      <c r="A1" s="301" t="s">
        <v>235</v>
      </c>
    </row>
    <row r="3" spans="1:1" ht="66" customHeight="1" x14ac:dyDescent="0.2">
      <c r="A3" s="31" t="s">
        <v>240</v>
      </c>
    </row>
    <row r="4" spans="1:1" x14ac:dyDescent="0.2">
      <c r="A4" s="32"/>
    </row>
    <row r="5" spans="1:1" ht="111" customHeight="1" x14ac:dyDescent="0.2">
      <c r="A5" s="31" t="s">
        <v>344</v>
      </c>
    </row>
    <row r="6" spans="1:1" x14ac:dyDescent="0.2">
      <c r="A6" s="28"/>
    </row>
    <row r="7" spans="1:1" ht="15.75" x14ac:dyDescent="0.2">
      <c r="A7" s="30" t="s">
        <v>343</v>
      </c>
    </row>
    <row r="8" spans="1:1" x14ac:dyDescent="0.2">
      <c r="A8" s="28"/>
    </row>
    <row r="9" spans="1:1" ht="15.75" x14ac:dyDescent="0.2">
      <c r="A9" s="33" t="s">
        <v>345</v>
      </c>
    </row>
    <row r="10" spans="1:1" ht="38.25" customHeight="1" x14ac:dyDescent="0.2">
      <c r="A10" s="31" t="s">
        <v>337</v>
      </c>
    </row>
    <row r="11" spans="1:1" ht="94.5" x14ac:dyDescent="0.25">
      <c r="A11" s="281" t="s">
        <v>336</v>
      </c>
    </row>
    <row r="12" spans="1:1" ht="131.25" customHeight="1" x14ac:dyDescent="0.2">
      <c r="A12" s="31" t="s">
        <v>314</v>
      </c>
    </row>
    <row r="13" spans="1:1" x14ac:dyDescent="0.2">
      <c r="A13" s="28"/>
    </row>
    <row r="14" spans="1:1" ht="15.75" x14ac:dyDescent="0.2">
      <c r="A14" s="29" t="s">
        <v>68</v>
      </c>
    </row>
    <row r="15" spans="1:1" ht="129" customHeight="1" x14ac:dyDescent="0.2">
      <c r="A15" s="31" t="s">
        <v>219</v>
      </c>
    </row>
    <row r="17" spans="1:1" ht="31.5" x14ac:dyDescent="0.2">
      <c r="A17" s="34" t="s">
        <v>69</v>
      </c>
    </row>
    <row r="18" spans="1:1" ht="222.75" customHeight="1" x14ac:dyDescent="0.2">
      <c r="A18" s="31" t="s">
        <v>220</v>
      </c>
    </row>
    <row r="20" spans="1:1" ht="15.75" x14ac:dyDescent="0.25">
      <c r="A20" s="3" t="s">
        <v>313</v>
      </c>
    </row>
    <row r="21" spans="1:1" ht="279.75" customHeight="1" x14ac:dyDescent="0.2">
      <c r="A21" s="31" t="s">
        <v>221</v>
      </c>
    </row>
    <row r="22" spans="1:1" ht="15.75" customHeight="1" x14ac:dyDescent="0.2">
      <c r="A22" s="31"/>
    </row>
    <row r="23" spans="1:1" ht="15.75" customHeight="1" x14ac:dyDescent="0.2">
      <c r="A23" s="34" t="s">
        <v>342</v>
      </c>
    </row>
    <row r="24" spans="1:1" ht="15.75" x14ac:dyDescent="0.2">
      <c r="A24" s="30" t="s">
        <v>346</v>
      </c>
    </row>
    <row r="25" spans="1:1" ht="15.75" x14ac:dyDescent="0.2">
      <c r="A25" s="30"/>
    </row>
    <row r="26" spans="1:1" ht="83.25" customHeight="1" x14ac:dyDescent="0.25">
      <c r="A26" s="35" t="s">
        <v>222</v>
      </c>
    </row>
    <row r="28" spans="1:1" ht="15.75" x14ac:dyDescent="0.25">
      <c r="A28" s="3" t="s">
        <v>70</v>
      </c>
    </row>
    <row r="29" spans="1:1" ht="15.75" x14ac:dyDescent="0.25">
      <c r="A29" s="1"/>
    </row>
    <row r="30" spans="1:1" ht="15.75" x14ac:dyDescent="0.25">
      <c r="A30" s="3"/>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602C2-82F1-4D01-9BA7-9028711D07AB}">
  <dimension ref="A1:A22"/>
  <sheetViews>
    <sheetView topLeftCell="A7" workbookViewId="0">
      <selection activeCell="A20" sqref="A20"/>
    </sheetView>
  </sheetViews>
  <sheetFormatPr defaultRowHeight="12.75" x14ac:dyDescent="0.2"/>
  <cols>
    <col min="1" max="1" width="95.28515625" customWidth="1"/>
  </cols>
  <sheetData>
    <row r="1" spans="1:1" ht="25.5" customHeight="1" x14ac:dyDescent="0.3">
      <c r="A1" s="295" t="s">
        <v>335</v>
      </c>
    </row>
    <row r="2" spans="1:1" ht="47.25" x14ac:dyDescent="0.25">
      <c r="A2" s="294" t="s">
        <v>347</v>
      </c>
    </row>
    <row r="3" spans="1:1" ht="15.75" x14ac:dyDescent="0.25">
      <c r="A3" s="294" t="s">
        <v>317</v>
      </c>
    </row>
    <row r="4" spans="1:1" ht="15.75" x14ac:dyDescent="0.25">
      <c r="A4" s="294" t="s">
        <v>318</v>
      </c>
    </row>
    <row r="5" spans="1:1" ht="28.5" customHeight="1" x14ac:dyDescent="0.25">
      <c r="A5" s="294" t="s">
        <v>319</v>
      </c>
    </row>
    <row r="6" spans="1:1" ht="31.5" x14ac:dyDescent="0.25">
      <c r="A6" s="294" t="s">
        <v>320</v>
      </c>
    </row>
    <row r="7" spans="1:1" ht="31.5" x14ac:dyDescent="0.25">
      <c r="A7" s="294" t="s">
        <v>321</v>
      </c>
    </row>
    <row r="8" spans="1:1" ht="31.5" x14ac:dyDescent="0.25">
      <c r="A8" s="294" t="s">
        <v>322</v>
      </c>
    </row>
    <row r="9" spans="1:1" ht="20.25" customHeight="1" x14ac:dyDescent="0.25">
      <c r="A9" s="294" t="s">
        <v>323</v>
      </c>
    </row>
    <row r="10" spans="1:1" ht="31.5" x14ac:dyDescent="0.25">
      <c r="A10" s="294" t="s">
        <v>324</v>
      </c>
    </row>
    <row r="11" spans="1:1" ht="32.25" customHeight="1" x14ac:dyDescent="0.25">
      <c r="A11" s="294" t="s">
        <v>325</v>
      </c>
    </row>
    <row r="12" spans="1:1" ht="31.5" x14ac:dyDescent="0.25">
      <c r="A12" s="294" t="s">
        <v>326</v>
      </c>
    </row>
    <row r="13" spans="1:1" ht="31.5" x14ac:dyDescent="0.25">
      <c r="A13" s="294" t="s">
        <v>327</v>
      </c>
    </row>
    <row r="14" spans="1:1" ht="15.75" x14ac:dyDescent="0.25">
      <c r="A14" s="294" t="s">
        <v>328</v>
      </c>
    </row>
    <row r="15" spans="1:1" ht="31.5" x14ac:dyDescent="0.25">
      <c r="A15" s="294" t="s">
        <v>329</v>
      </c>
    </row>
    <row r="16" spans="1:1" ht="47.25" x14ac:dyDescent="0.25">
      <c r="A16" s="294" t="s">
        <v>353</v>
      </c>
    </row>
    <row r="17" spans="1:1" ht="31.5" x14ac:dyDescent="0.25">
      <c r="A17" s="294" t="s">
        <v>330</v>
      </c>
    </row>
    <row r="18" spans="1:1" ht="31.5" x14ac:dyDescent="0.25">
      <c r="A18" s="294" t="s">
        <v>331</v>
      </c>
    </row>
    <row r="19" spans="1:1" ht="47.25" x14ac:dyDescent="0.25">
      <c r="A19" s="294" t="s">
        <v>354</v>
      </c>
    </row>
    <row r="20" spans="1:1" ht="15.75" x14ac:dyDescent="0.25">
      <c r="A20" s="294" t="s">
        <v>332</v>
      </c>
    </row>
    <row r="21" spans="1:1" ht="31.5" x14ac:dyDescent="0.25">
      <c r="A21" s="294" t="s">
        <v>333</v>
      </c>
    </row>
    <row r="22" spans="1:1" ht="15.75" x14ac:dyDescent="0.25">
      <c r="A22" s="294" t="s">
        <v>334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65"/>
  <sheetViews>
    <sheetView zoomScaleNormal="100" workbookViewId="0"/>
  </sheetViews>
  <sheetFormatPr defaultColWidth="9.140625" defaultRowHeight="15.75" x14ac:dyDescent="0.25"/>
  <cols>
    <col min="1" max="1" width="64.140625" style="1" customWidth="1"/>
    <col min="2" max="2" width="12.140625" style="1" customWidth="1"/>
    <col min="3" max="3" width="16.7109375" style="1" customWidth="1"/>
    <col min="4" max="4" width="15.5703125" style="7" customWidth="1"/>
    <col min="5" max="5" width="12.85546875" style="1" customWidth="1"/>
    <col min="6" max="12" width="9.140625" style="1"/>
    <col min="13" max="13" width="27.28515625" style="1" customWidth="1"/>
    <col min="14" max="14" width="11.28515625" style="4" bestFit="1" customWidth="1"/>
    <col min="15" max="15" width="16.28515625" style="72" customWidth="1"/>
    <col min="16" max="16" width="9.5703125" style="4" bestFit="1" customWidth="1"/>
    <col min="17" max="17" width="16.7109375" style="72" customWidth="1"/>
    <col min="18" max="18" width="11.28515625" style="4" customWidth="1"/>
    <col min="19" max="19" width="16.7109375" style="72" customWidth="1"/>
    <col min="20" max="20" width="10.7109375" style="4" customWidth="1"/>
    <col min="21" max="21" width="16.7109375" style="18" customWidth="1"/>
    <col min="22" max="22" width="11" style="4" customWidth="1"/>
    <col min="23" max="23" width="16.7109375" style="72" customWidth="1"/>
    <col min="24" max="24" width="9.5703125" style="4" bestFit="1" customWidth="1"/>
    <col min="25" max="25" width="16.7109375" style="72" customWidth="1"/>
    <col min="26" max="26" width="9.5703125" style="4" bestFit="1" customWidth="1"/>
    <col min="27" max="27" width="16.7109375" style="72" customWidth="1"/>
    <col min="28" max="28" width="27.28515625" style="1" customWidth="1"/>
    <col min="29" max="29" width="10.7109375" style="4" customWidth="1"/>
    <col min="30" max="30" width="16.7109375" style="72" customWidth="1"/>
    <col min="31" max="31" width="9.5703125" style="1" bestFit="1" customWidth="1"/>
    <col min="32" max="32" width="16.7109375" style="72" customWidth="1"/>
    <col min="33" max="33" width="9.5703125" style="1" bestFit="1" customWidth="1"/>
    <col min="34" max="34" width="16.7109375" style="1" customWidth="1"/>
    <col min="35" max="35" width="16.7109375" style="72" customWidth="1"/>
    <col min="36" max="36" width="27" style="1" customWidth="1"/>
    <col min="37" max="37" width="9.140625" style="2"/>
    <col min="38" max="38" width="16.7109375" style="18" customWidth="1"/>
    <col min="39" max="16384" width="9.140625" style="1"/>
  </cols>
  <sheetData>
    <row r="1" spans="1:38" ht="18.75" x14ac:dyDescent="0.3">
      <c r="A1" s="53" t="s">
        <v>135</v>
      </c>
      <c r="B1" s="3" t="s">
        <v>348</v>
      </c>
      <c r="C1" s="3"/>
      <c r="D1" s="8"/>
      <c r="E1" s="3"/>
      <c r="AI1" s="78"/>
    </row>
    <row r="2" spans="1:38" ht="18.75" x14ac:dyDescent="0.3">
      <c r="A2" s="311" t="s">
        <v>236</v>
      </c>
      <c r="B2" s="311"/>
      <c r="C2" s="312"/>
      <c r="D2" s="312"/>
      <c r="E2" s="312"/>
      <c r="N2" s="1"/>
      <c r="O2" s="1"/>
      <c r="P2" s="1"/>
      <c r="Q2" s="1"/>
      <c r="R2" s="1"/>
      <c r="S2" s="1"/>
      <c r="T2" s="1"/>
      <c r="U2" s="1"/>
      <c r="V2" s="1"/>
      <c r="W2" s="1"/>
      <c r="X2" s="1"/>
      <c r="Y2" s="1"/>
      <c r="Z2" s="1"/>
      <c r="AA2" s="1"/>
      <c r="AC2" s="1"/>
      <c r="AD2" s="1"/>
      <c r="AF2" s="1"/>
      <c r="AI2" s="79"/>
    </row>
    <row r="3" spans="1:38" ht="18.75" x14ac:dyDescent="0.3">
      <c r="A3" s="232"/>
      <c r="B3" s="232"/>
      <c r="C3" s="231"/>
      <c r="D3" s="231"/>
      <c r="E3" s="231"/>
      <c r="M3" s="309" t="s">
        <v>194</v>
      </c>
      <c r="N3" s="313"/>
      <c r="O3" s="313"/>
      <c r="P3" s="313"/>
      <c r="Q3" s="313"/>
      <c r="R3" s="313"/>
      <c r="S3" s="313"/>
      <c r="T3" s="313"/>
      <c r="U3" s="313"/>
      <c r="V3" s="313"/>
      <c r="W3" s="313"/>
      <c r="X3" s="313"/>
      <c r="Y3" s="313"/>
      <c r="Z3" s="313"/>
      <c r="AA3" s="313"/>
      <c r="AB3" s="309" t="s">
        <v>196</v>
      </c>
      <c r="AC3" s="313"/>
      <c r="AD3" s="313"/>
      <c r="AE3" s="313"/>
      <c r="AF3" s="313"/>
      <c r="AG3" s="313"/>
      <c r="AH3" s="313"/>
      <c r="AI3" s="79"/>
    </row>
    <row r="4" spans="1:38" x14ac:dyDescent="0.25">
      <c r="A4" s="300"/>
      <c r="B4" s="309" t="s">
        <v>0</v>
      </c>
      <c r="C4" s="310"/>
      <c r="D4" s="310"/>
      <c r="M4" s="314"/>
      <c r="N4" s="309" t="s">
        <v>186</v>
      </c>
      <c r="O4" s="313"/>
      <c r="P4" s="309" t="s">
        <v>187</v>
      </c>
      <c r="Q4" s="313"/>
      <c r="R4" s="309" t="s">
        <v>193</v>
      </c>
      <c r="S4" s="310"/>
      <c r="T4" s="309" t="s">
        <v>19</v>
      </c>
      <c r="U4" s="313"/>
      <c r="V4" s="309" t="s">
        <v>192</v>
      </c>
      <c r="W4" s="310"/>
      <c r="X4" s="309" t="s">
        <v>188</v>
      </c>
      <c r="Y4" s="310"/>
      <c r="Z4" s="309" t="s">
        <v>189</v>
      </c>
      <c r="AA4" s="310"/>
      <c r="AB4" s="314"/>
      <c r="AC4" s="309" t="s">
        <v>4</v>
      </c>
      <c r="AD4" s="310"/>
      <c r="AE4" s="309" t="s">
        <v>21</v>
      </c>
      <c r="AF4" s="310"/>
      <c r="AG4" s="309" t="s">
        <v>195</v>
      </c>
      <c r="AH4" s="310"/>
      <c r="AI4" s="24"/>
      <c r="AJ4" s="309" t="s">
        <v>205</v>
      </c>
      <c r="AK4" s="310"/>
      <c r="AL4" s="310"/>
    </row>
    <row r="5" spans="1:38" ht="19.5" x14ac:dyDescent="0.3">
      <c r="A5" s="299" t="s">
        <v>36</v>
      </c>
      <c r="B5" s="12">
        <v>2014</v>
      </c>
      <c r="C5" s="25" t="s">
        <v>18</v>
      </c>
      <c r="D5" s="53">
        <v>2021</v>
      </c>
      <c r="E5" s="3" t="s">
        <v>35</v>
      </c>
      <c r="M5" s="315"/>
      <c r="N5" s="77">
        <v>2014</v>
      </c>
      <c r="O5" s="73" t="s">
        <v>18</v>
      </c>
      <c r="P5" s="77">
        <v>2014</v>
      </c>
      <c r="Q5" s="73" t="s">
        <v>18</v>
      </c>
      <c r="R5" s="77">
        <v>2014</v>
      </c>
      <c r="S5" s="73" t="s">
        <v>18</v>
      </c>
      <c r="T5" s="77">
        <v>2014</v>
      </c>
      <c r="U5" s="73" t="s">
        <v>18</v>
      </c>
      <c r="V5" s="77">
        <v>2014</v>
      </c>
      <c r="W5" s="73" t="s">
        <v>18</v>
      </c>
      <c r="X5" s="77">
        <v>2014</v>
      </c>
      <c r="Y5" s="73" t="s">
        <v>18</v>
      </c>
      <c r="Z5" s="77">
        <v>2014</v>
      </c>
      <c r="AA5" s="73" t="s">
        <v>18</v>
      </c>
      <c r="AB5" s="315"/>
      <c r="AC5" s="77">
        <v>2014</v>
      </c>
      <c r="AD5" s="76" t="s">
        <v>18</v>
      </c>
      <c r="AE5" s="77">
        <v>2014</v>
      </c>
      <c r="AF5" s="76" t="s">
        <v>18</v>
      </c>
      <c r="AG5" s="77">
        <v>2014</v>
      </c>
      <c r="AH5" s="76" t="s">
        <v>18</v>
      </c>
      <c r="AI5" s="78"/>
      <c r="AJ5" s="74"/>
      <c r="AK5" s="92">
        <v>2014</v>
      </c>
      <c r="AL5" s="90" t="s">
        <v>206</v>
      </c>
    </row>
    <row r="6" spans="1:38" x14ac:dyDescent="0.25">
      <c r="A6" s="1" t="s">
        <v>22</v>
      </c>
      <c r="B6" s="80">
        <f>VLOOKUP($A$1,$M$6:$AA$57,4,FALSE)</f>
        <v>71630</v>
      </c>
      <c r="C6" s="82">
        <f>VLOOKUP($A$1,$M$6:$AA$57,5,FALSE)/100</f>
        <v>4.8000000000000001E-2</v>
      </c>
      <c r="D6" s="4">
        <f t="shared" ref="D6:D12" si="0">B6*(1+C6)^(D$5-B$5)</f>
        <v>99454.383516297705</v>
      </c>
      <c r="M6" s="1" t="s">
        <v>185</v>
      </c>
      <c r="N6" s="4">
        <v>2562824</v>
      </c>
      <c r="O6" s="72">
        <v>6</v>
      </c>
      <c r="P6" s="4">
        <v>980966</v>
      </c>
      <c r="Q6" s="72">
        <v>5.7</v>
      </c>
      <c r="R6" s="4">
        <v>792795</v>
      </c>
      <c r="S6" s="72">
        <v>5.6111359178602287</v>
      </c>
      <c r="T6" s="4">
        <v>83566</v>
      </c>
      <c r="U6" s="72">
        <v>7.7</v>
      </c>
      <c r="V6" s="4">
        <v>401406</v>
      </c>
      <c r="W6" s="72">
        <v>7.2909358604505163</v>
      </c>
      <c r="X6" s="4">
        <v>152635</v>
      </c>
      <c r="Y6" s="72">
        <v>5</v>
      </c>
      <c r="Z6" s="4">
        <v>151456</v>
      </c>
      <c r="AA6" s="72">
        <v>7.7</v>
      </c>
      <c r="AB6" s="78" t="s">
        <v>185</v>
      </c>
      <c r="AC6" s="4">
        <v>580583</v>
      </c>
      <c r="AD6" s="72">
        <v>7.2</v>
      </c>
      <c r="AE6" s="4">
        <v>446703</v>
      </c>
      <c r="AF6" s="72">
        <v>7.3</v>
      </c>
      <c r="AG6" s="4">
        <v>875154</v>
      </c>
      <c r="AH6" s="72">
        <v>5.3</v>
      </c>
      <c r="AI6" s="72">
        <f>VLOOKUP($A$1,$AJ6:$AL57,2,FALSE)</f>
        <v>3278</v>
      </c>
      <c r="AJ6" s="72" t="s">
        <v>185</v>
      </c>
      <c r="AK6" s="2">
        <v>52846</v>
      </c>
      <c r="AL6" s="18">
        <v>1.9</v>
      </c>
    </row>
    <row r="7" spans="1:38" x14ac:dyDescent="0.25">
      <c r="A7" s="1" t="s">
        <v>190</v>
      </c>
      <c r="B7" s="80">
        <f>VLOOKUP($A$1,$M$6:$AA$57,6,FALSE)</f>
        <v>49959</v>
      </c>
      <c r="C7" s="82">
        <f>VLOOKUP($A$1,$M$6:$AA$57,7,FALSE)/100</f>
        <v>5.0583798714946254E-2</v>
      </c>
      <c r="D7" s="4">
        <f t="shared" si="0"/>
        <v>70571.383402925596</v>
      </c>
      <c r="M7" s="1" t="s">
        <v>104</v>
      </c>
      <c r="N7" s="4">
        <v>35263</v>
      </c>
      <c r="O7" s="72">
        <v>5.5</v>
      </c>
      <c r="P7" s="4">
        <v>12715</v>
      </c>
      <c r="Q7" s="72">
        <v>4.5999999999999996</v>
      </c>
      <c r="R7" s="4">
        <v>10602</v>
      </c>
      <c r="S7" s="72">
        <v>4.9529428409734022</v>
      </c>
      <c r="T7" s="4">
        <v>980</v>
      </c>
      <c r="U7" s="72">
        <v>6.1</v>
      </c>
      <c r="V7" s="4">
        <v>7502</v>
      </c>
      <c r="W7" s="72">
        <v>7.680538523060517</v>
      </c>
      <c r="X7" s="4">
        <v>1895</v>
      </c>
      <c r="Y7" s="72">
        <v>5.6</v>
      </c>
      <c r="Z7" s="4">
        <v>1569</v>
      </c>
      <c r="AA7" s="72">
        <v>8.3000000000000007</v>
      </c>
      <c r="AB7" s="72" t="s">
        <v>104</v>
      </c>
      <c r="AC7" s="4">
        <v>9723</v>
      </c>
      <c r="AD7" s="72">
        <v>7</v>
      </c>
      <c r="AE7" s="4">
        <v>4983</v>
      </c>
      <c r="AF7" s="72">
        <v>7.9</v>
      </c>
      <c r="AG7" s="4">
        <v>11078</v>
      </c>
      <c r="AH7" s="72">
        <v>3.6</v>
      </c>
      <c r="AJ7" s="72" t="s">
        <v>104</v>
      </c>
      <c r="AK7" s="2">
        <v>947</v>
      </c>
      <c r="AL7" s="18">
        <v>2.1</v>
      </c>
    </row>
    <row r="8" spans="1:38" x14ac:dyDescent="0.25">
      <c r="A8" s="1" t="s">
        <v>189</v>
      </c>
      <c r="B8" s="80">
        <f>VLOOKUP($A$1,$M$6:$AA$57,14,FALSE)</f>
        <v>18459</v>
      </c>
      <c r="C8" s="82">
        <f>VLOOKUP($A$1,$M$6:$AA$57,15,FALSE)/100</f>
        <v>7.400000000000001E-2</v>
      </c>
      <c r="D8" s="4">
        <f t="shared" si="0"/>
        <v>30425.529100205873</v>
      </c>
      <c r="M8" s="1" t="s">
        <v>105</v>
      </c>
      <c r="N8" s="4">
        <v>8151</v>
      </c>
      <c r="O8" s="72">
        <v>7.8</v>
      </c>
      <c r="P8" s="4">
        <v>3473</v>
      </c>
      <c r="Q8" s="72">
        <v>7.7</v>
      </c>
      <c r="R8" s="4">
        <v>3222</v>
      </c>
      <c r="S8" s="72">
        <v>8.0036312849161995</v>
      </c>
      <c r="T8" s="4">
        <v>144</v>
      </c>
      <c r="U8" s="72">
        <v>17</v>
      </c>
      <c r="V8" s="4">
        <v>573</v>
      </c>
      <c r="W8" s="72">
        <v>5.3712041884816752</v>
      </c>
      <c r="X8" s="4">
        <v>150</v>
      </c>
      <c r="Y8" s="72">
        <v>5.5</v>
      </c>
      <c r="Z8" s="4">
        <v>587</v>
      </c>
      <c r="AA8" s="72">
        <v>10.8</v>
      </c>
      <c r="AB8" s="72" t="s">
        <v>105</v>
      </c>
      <c r="AC8" s="4">
        <v>741</v>
      </c>
      <c r="AD8" s="72">
        <v>9.6</v>
      </c>
      <c r="AE8" s="4">
        <v>1359</v>
      </c>
      <c r="AF8" s="72">
        <v>8.9</v>
      </c>
      <c r="AG8" s="4">
        <v>2492</v>
      </c>
      <c r="AH8" s="72">
        <v>5</v>
      </c>
      <c r="AJ8" s="72" t="s">
        <v>105</v>
      </c>
      <c r="AK8" s="2">
        <v>80</v>
      </c>
      <c r="AL8" s="18">
        <v>4.9000000000000004</v>
      </c>
    </row>
    <row r="9" spans="1:38" x14ac:dyDescent="0.25">
      <c r="A9" s="1" t="s">
        <v>191</v>
      </c>
      <c r="B9" s="233">
        <f>VLOOKUP($A$1,$M$6:$AA$57,10,FALSE)</f>
        <v>31128</v>
      </c>
      <c r="C9" s="82">
        <f>VLOOKUP($A$1,$M$6:$AA$57,11,FALSE)/100</f>
        <v>7.7270174762271909E-2</v>
      </c>
      <c r="D9" s="91">
        <f t="shared" si="0"/>
        <v>52411.147812270632</v>
      </c>
      <c r="M9" s="1" t="s">
        <v>106</v>
      </c>
      <c r="N9" s="4">
        <v>43356</v>
      </c>
      <c r="O9" s="72">
        <v>6.9</v>
      </c>
      <c r="P9" s="4">
        <v>15707</v>
      </c>
      <c r="Q9" s="72">
        <v>6.9</v>
      </c>
      <c r="R9" s="4">
        <v>15839</v>
      </c>
      <c r="S9" s="72">
        <v>6.6782940842224887</v>
      </c>
      <c r="T9" s="4">
        <v>913</v>
      </c>
      <c r="U9" s="72">
        <v>8.1999999999999993</v>
      </c>
      <c r="V9" s="4">
        <v>6640</v>
      </c>
      <c r="W9" s="72">
        <v>7.5526807228915667</v>
      </c>
      <c r="X9" s="4">
        <v>1924</v>
      </c>
      <c r="Y9" s="72">
        <v>6.1</v>
      </c>
      <c r="Z9" s="4">
        <v>2332</v>
      </c>
      <c r="AA9" s="72">
        <v>9</v>
      </c>
      <c r="AB9" s="72" t="s">
        <v>106</v>
      </c>
      <c r="AC9" s="4">
        <v>11069</v>
      </c>
      <c r="AD9" s="72">
        <v>8.1999999999999993</v>
      </c>
      <c r="AE9" s="4">
        <v>8371</v>
      </c>
      <c r="AF9" s="72">
        <v>10.9</v>
      </c>
      <c r="AG9" s="4">
        <v>15073</v>
      </c>
      <c r="AH9" s="72">
        <v>6.3</v>
      </c>
      <c r="AJ9" s="72" t="s">
        <v>106</v>
      </c>
      <c r="AK9" s="2">
        <v>1096</v>
      </c>
      <c r="AL9" s="18">
        <v>3.3</v>
      </c>
    </row>
    <row r="10" spans="1:38" x14ac:dyDescent="0.25">
      <c r="A10" s="1" t="s">
        <v>19</v>
      </c>
      <c r="B10" s="80">
        <f>VLOOKUP($A$1,$M$6:$AA$57,8,FALSE)</f>
        <v>9426</v>
      </c>
      <c r="C10" s="82">
        <f>VLOOKUP($A$1,$M$6:$AA$57,9,FALSE)/100</f>
        <v>5.0999999999999997E-2</v>
      </c>
      <c r="D10" s="91">
        <f t="shared" si="0"/>
        <v>13352.003810737498</v>
      </c>
      <c r="M10" s="1" t="s">
        <v>107</v>
      </c>
      <c r="N10" s="4">
        <v>21980</v>
      </c>
      <c r="O10" s="72">
        <v>6.1</v>
      </c>
      <c r="P10" s="4">
        <v>7930</v>
      </c>
      <c r="Q10" s="72">
        <v>5.3</v>
      </c>
      <c r="R10" s="4">
        <v>6544</v>
      </c>
      <c r="S10" s="72">
        <v>5.7861705378973101</v>
      </c>
      <c r="T10" s="4">
        <v>538</v>
      </c>
      <c r="U10" s="72">
        <v>7.7</v>
      </c>
      <c r="V10" s="4">
        <v>3778</v>
      </c>
      <c r="W10" s="72">
        <v>7.720645844362096</v>
      </c>
      <c r="X10" s="4">
        <v>1305</v>
      </c>
      <c r="Y10" s="72">
        <v>5.2</v>
      </c>
      <c r="Z10" s="4">
        <v>1885</v>
      </c>
      <c r="AA10" s="72">
        <v>10.6</v>
      </c>
      <c r="AB10" s="72" t="s">
        <v>107</v>
      </c>
      <c r="AC10" s="4">
        <v>5536</v>
      </c>
      <c r="AD10" s="72">
        <v>6.7</v>
      </c>
      <c r="AE10" s="4">
        <v>4960</v>
      </c>
      <c r="AF10" s="72">
        <v>8.1999999999999993</v>
      </c>
      <c r="AG10" s="4">
        <v>6209</v>
      </c>
      <c r="AH10" s="72">
        <v>4.9000000000000004</v>
      </c>
      <c r="AJ10" s="72" t="s">
        <v>107</v>
      </c>
      <c r="AK10" s="2">
        <v>584</v>
      </c>
      <c r="AL10" s="18">
        <v>1.7</v>
      </c>
    </row>
    <row r="11" spans="1:38" x14ac:dyDescent="0.25">
      <c r="A11" s="1" t="s">
        <v>20</v>
      </c>
      <c r="B11" s="81">
        <f>VLOOKUP($A$1,$M$6:$AA$57,12,FALSE)</f>
        <v>12206</v>
      </c>
      <c r="C11" s="82">
        <f>VLOOKUP($A$1,$M$6:$AA$57,13,FALSE)/100</f>
        <v>3.7000000000000005E-2</v>
      </c>
      <c r="D11" s="14">
        <f t="shared" si="0"/>
        <v>15740.72241748946</v>
      </c>
      <c r="M11" s="1" t="s">
        <v>108</v>
      </c>
      <c r="N11" s="4">
        <v>291989</v>
      </c>
      <c r="O11" s="72">
        <v>5.7</v>
      </c>
      <c r="P11" s="4">
        <v>106487</v>
      </c>
      <c r="Q11" s="72">
        <v>5.7</v>
      </c>
      <c r="R11" s="4">
        <v>99621</v>
      </c>
      <c r="S11" s="72">
        <v>4.5</v>
      </c>
      <c r="T11" s="4">
        <v>11253</v>
      </c>
      <c r="U11" s="72">
        <v>10.4</v>
      </c>
      <c r="V11" s="4">
        <v>40664</v>
      </c>
      <c r="W11" s="72">
        <v>6.8620401337792645</v>
      </c>
      <c r="X11" s="4">
        <v>14799</v>
      </c>
      <c r="Y11" s="72">
        <v>6.3</v>
      </c>
      <c r="Z11" s="4">
        <v>19164</v>
      </c>
      <c r="AA11" s="72">
        <v>10.1</v>
      </c>
      <c r="AB11" s="72" t="s">
        <v>108</v>
      </c>
      <c r="AC11" s="4">
        <v>64795</v>
      </c>
      <c r="AD11" s="72">
        <v>7.2</v>
      </c>
      <c r="AE11" s="4">
        <v>61761</v>
      </c>
      <c r="AF11" s="72">
        <v>8.9</v>
      </c>
      <c r="AG11" s="4">
        <v>104018</v>
      </c>
      <c r="AH11" s="72">
        <v>6.2</v>
      </c>
      <c r="AJ11" s="72" t="s">
        <v>108</v>
      </c>
      <c r="AK11" s="2">
        <v>5476</v>
      </c>
      <c r="AL11" s="18">
        <v>2.2000000000000002</v>
      </c>
    </row>
    <row r="12" spans="1:38" x14ac:dyDescent="0.25">
      <c r="A12" s="3" t="s">
        <v>26</v>
      </c>
      <c r="B12" s="308">
        <f>VLOOKUP($A$1,$M$6:$AA$57,2,FALSE)</f>
        <v>192809</v>
      </c>
      <c r="C12" s="82">
        <f>VLOOKUP($A$1,$M$6:$AA$57,3,FALSE)/100</f>
        <v>5.4000000000000006E-2</v>
      </c>
      <c r="D12" s="5">
        <f t="shared" si="0"/>
        <v>278619.54477457324</v>
      </c>
      <c r="M12" s="1" t="s">
        <v>109</v>
      </c>
      <c r="N12" s="4">
        <v>36398</v>
      </c>
      <c r="O12" s="72">
        <v>6.5</v>
      </c>
      <c r="P12" s="4">
        <v>14650</v>
      </c>
      <c r="Q12" s="72">
        <v>6.7</v>
      </c>
      <c r="R12" s="4">
        <v>12550</v>
      </c>
      <c r="S12" s="72">
        <v>6.3020159362549801</v>
      </c>
      <c r="T12" s="4">
        <v>1026</v>
      </c>
      <c r="U12" s="72">
        <v>9.5</v>
      </c>
      <c r="V12" s="4">
        <v>4561</v>
      </c>
      <c r="W12" s="72">
        <v>6.578360008770006</v>
      </c>
      <c r="X12" s="4">
        <v>2058</v>
      </c>
      <c r="Y12" s="72">
        <v>6.2</v>
      </c>
      <c r="Z12" s="4">
        <v>1552</v>
      </c>
      <c r="AA12" s="72">
        <v>6.2</v>
      </c>
      <c r="AB12" s="72" t="s">
        <v>109</v>
      </c>
      <c r="AC12" s="4">
        <v>7013</v>
      </c>
      <c r="AD12" s="72">
        <v>8.3000000000000007</v>
      </c>
      <c r="AE12" s="4">
        <v>6038</v>
      </c>
      <c r="AF12" s="72">
        <v>9.5</v>
      </c>
      <c r="AG12" s="4">
        <v>15662</v>
      </c>
      <c r="AH12" s="72">
        <v>6.6</v>
      </c>
      <c r="AJ12" s="72" t="s">
        <v>109</v>
      </c>
      <c r="AK12" s="2">
        <v>755</v>
      </c>
      <c r="AL12" s="18">
        <v>3.2</v>
      </c>
    </row>
    <row r="13" spans="1:38" x14ac:dyDescent="0.25">
      <c r="B13" s="75"/>
      <c r="C13" s="83"/>
      <c r="D13" s="10"/>
      <c r="M13" s="1" t="s">
        <v>110</v>
      </c>
      <c r="N13" s="4">
        <v>35413</v>
      </c>
      <c r="O13" s="72">
        <v>5.2</v>
      </c>
      <c r="P13" s="4">
        <v>11947</v>
      </c>
      <c r="Q13" s="72">
        <v>5</v>
      </c>
      <c r="R13" s="4">
        <v>10692</v>
      </c>
      <c r="S13" s="72">
        <v>4.9050505050505047</v>
      </c>
      <c r="T13" s="4">
        <v>1062</v>
      </c>
      <c r="U13" s="72">
        <v>5.7</v>
      </c>
      <c r="V13" s="4">
        <v>5806</v>
      </c>
      <c r="W13" s="72">
        <v>7.4734068205304851</v>
      </c>
      <c r="X13" s="4">
        <v>3067</v>
      </c>
      <c r="Y13" s="72">
        <v>3.5</v>
      </c>
      <c r="Z13" s="4">
        <v>2839</v>
      </c>
      <c r="AA13" s="72">
        <v>6.5</v>
      </c>
      <c r="AB13" s="72" t="s">
        <v>110</v>
      </c>
      <c r="AC13" s="4">
        <v>7410</v>
      </c>
      <c r="AD13" s="72">
        <v>6.6</v>
      </c>
      <c r="AE13" s="4">
        <v>6994</v>
      </c>
      <c r="AF13" s="72">
        <v>6.4</v>
      </c>
      <c r="AG13" s="4">
        <v>11920</v>
      </c>
      <c r="AH13" s="72">
        <v>4.2</v>
      </c>
      <c r="AJ13" s="72" t="s">
        <v>110</v>
      </c>
      <c r="AK13" s="2">
        <v>619</v>
      </c>
      <c r="AL13" s="18">
        <v>1.2</v>
      </c>
    </row>
    <row r="14" spans="1:38" ht="18.75" x14ac:dyDescent="0.25">
      <c r="A14" s="9" t="s">
        <v>37</v>
      </c>
      <c r="B14" s="75"/>
      <c r="C14" s="83"/>
      <c r="D14" s="10"/>
      <c r="M14" s="1" t="s">
        <v>111</v>
      </c>
      <c r="N14" s="4">
        <v>9587</v>
      </c>
      <c r="O14" s="72">
        <v>7.2</v>
      </c>
      <c r="P14" s="4">
        <v>3812</v>
      </c>
      <c r="Q14" s="72">
        <v>7</v>
      </c>
      <c r="R14" s="4">
        <v>2821</v>
      </c>
      <c r="S14" s="72">
        <v>6.5984757178305573</v>
      </c>
      <c r="T14" s="4">
        <v>224</v>
      </c>
      <c r="U14" s="72">
        <v>8.6</v>
      </c>
      <c r="V14" s="4">
        <v>1609</v>
      </c>
      <c r="W14" s="72">
        <v>8.5683654443753881</v>
      </c>
      <c r="X14" s="4">
        <v>568</v>
      </c>
      <c r="Y14" s="72">
        <v>6.4</v>
      </c>
      <c r="Z14" s="4">
        <v>553</v>
      </c>
      <c r="AA14" s="72">
        <v>9.1999999999999993</v>
      </c>
      <c r="AB14" s="72" t="s">
        <v>111</v>
      </c>
      <c r="AC14" s="4">
        <v>2004</v>
      </c>
      <c r="AD14" s="72">
        <v>7.9</v>
      </c>
      <c r="AE14" s="4">
        <v>1506</v>
      </c>
      <c r="AF14" s="72">
        <v>9.1999999999999993</v>
      </c>
      <c r="AG14" s="4">
        <v>2933</v>
      </c>
      <c r="AH14" s="72">
        <v>4.5</v>
      </c>
      <c r="AJ14" s="72" t="s">
        <v>111</v>
      </c>
      <c r="AK14" s="2">
        <v>175</v>
      </c>
      <c r="AL14" s="18">
        <v>2.9</v>
      </c>
    </row>
    <row r="15" spans="1:38" ht="15.75" customHeight="1" x14ac:dyDescent="0.25">
      <c r="A15" s="1" t="s">
        <v>4</v>
      </c>
      <c r="B15" s="80">
        <f>VLOOKUP($A$1,$AB$6:$AH$57,2,FALSE)</f>
        <v>39926</v>
      </c>
      <c r="C15" s="82">
        <f>VLOOKUP($A$1,$AB$6:$AH$57,3,FALSE)/100</f>
        <v>6.4000000000000001E-2</v>
      </c>
      <c r="D15" s="4">
        <f>B15*(1+C15)^(D$5-B$5)</f>
        <v>61637.80976844117</v>
      </c>
      <c r="M15" s="1" t="s">
        <v>112</v>
      </c>
      <c r="N15" s="4">
        <v>7871</v>
      </c>
      <c r="O15" s="72">
        <v>4.5999999999999996</v>
      </c>
      <c r="P15" s="4">
        <v>3449</v>
      </c>
      <c r="Q15" s="72">
        <v>3.8</v>
      </c>
      <c r="R15" s="4">
        <v>2036</v>
      </c>
      <c r="S15" s="72">
        <v>4.4252455795677799</v>
      </c>
      <c r="T15" s="4">
        <v>430</v>
      </c>
      <c r="U15" s="72">
        <v>11.8</v>
      </c>
      <c r="V15" s="4">
        <v>847</v>
      </c>
      <c r="W15" s="72">
        <v>6.7859504132231399</v>
      </c>
      <c r="X15" s="4">
        <v>384</v>
      </c>
      <c r="Y15" s="72">
        <v>2.8</v>
      </c>
      <c r="Z15" s="4">
        <v>724</v>
      </c>
      <c r="AA15" s="72">
        <v>6.5</v>
      </c>
      <c r="AB15" s="72" t="s">
        <v>112</v>
      </c>
      <c r="AC15" s="4">
        <v>1023</v>
      </c>
      <c r="AD15" s="72">
        <v>4.9000000000000004</v>
      </c>
      <c r="AE15" s="4">
        <v>2178</v>
      </c>
      <c r="AF15" s="72">
        <v>6.3</v>
      </c>
      <c r="AG15" s="4">
        <v>3688</v>
      </c>
      <c r="AH15" s="72">
        <v>5.3</v>
      </c>
      <c r="AJ15" s="72" t="s">
        <v>112</v>
      </c>
      <c r="AK15" s="2">
        <v>87</v>
      </c>
      <c r="AL15" s="18">
        <v>0.5</v>
      </c>
    </row>
    <row r="16" spans="1:38" ht="14.25" customHeight="1" x14ac:dyDescent="0.25">
      <c r="A16" s="1" t="s">
        <v>21</v>
      </c>
      <c r="B16" s="80">
        <f>VLOOKUP($A$1,$AB$6:$AH$57,4,FALSE)</f>
        <v>51821</v>
      </c>
      <c r="C16" s="82">
        <f>VLOOKUP($A$1,$AB$6:$AH$57,5,FALSE)/100</f>
        <v>5.2000000000000005E-2</v>
      </c>
      <c r="D16" s="4">
        <f>B16*(1+C16)^(D$5-B$5)</f>
        <v>73895.15562734683</v>
      </c>
      <c r="M16" s="1" t="s">
        <v>113</v>
      </c>
      <c r="N16" s="4">
        <v>160624</v>
      </c>
      <c r="O16" s="72">
        <v>6.3</v>
      </c>
      <c r="P16" s="4">
        <v>54339</v>
      </c>
      <c r="Q16" s="72">
        <v>5.8</v>
      </c>
      <c r="R16" s="4">
        <v>56126</v>
      </c>
      <c r="S16" s="72">
        <v>5.9035509389587713</v>
      </c>
      <c r="T16" s="4">
        <v>5846</v>
      </c>
      <c r="U16" s="72">
        <v>7.2</v>
      </c>
      <c r="V16" s="4">
        <v>29529</v>
      </c>
      <c r="W16" s="72">
        <v>8.0915879305089913</v>
      </c>
      <c r="X16" s="4">
        <v>9732</v>
      </c>
      <c r="Y16" s="72">
        <v>6.3</v>
      </c>
      <c r="Z16" s="4">
        <v>5052</v>
      </c>
      <c r="AA16" s="72">
        <v>8</v>
      </c>
      <c r="AB16" s="72" t="s">
        <v>113</v>
      </c>
      <c r="AC16" s="4">
        <v>47697</v>
      </c>
      <c r="AD16" s="72">
        <v>7.6</v>
      </c>
      <c r="AE16" s="4">
        <v>18285</v>
      </c>
      <c r="AF16" s="72">
        <v>7.8</v>
      </c>
      <c r="AG16" s="4">
        <v>48566</v>
      </c>
      <c r="AH16" s="72">
        <v>5.8</v>
      </c>
      <c r="AJ16" s="72" t="s">
        <v>113</v>
      </c>
      <c r="AK16" s="2">
        <v>3900</v>
      </c>
      <c r="AL16" s="18">
        <v>2.1</v>
      </c>
    </row>
    <row r="17" spans="1:38" ht="18.75" x14ac:dyDescent="0.25">
      <c r="A17" s="1" t="s">
        <v>64</v>
      </c>
      <c r="B17" s="80">
        <f>VLOOKUP($A$1,$AB$6:$AH$57,6,FALSE)</f>
        <v>61730</v>
      </c>
      <c r="C17" s="82">
        <f>VLOOKUP($A$1,$AB$6:$AH$57,7,FALSE)/100</f>
        <v>5.2000000000000005E-2</v>
      </c>
      <c r="D17" s="4">
        <f>B17*(1+C17)^(D$5-B$5)</f>
        <v>88025.08552278264</v>
      </c>
      <c r="M17" s="1" t="s">
        <v>114</v>
      </c>
      <c r="N17" s="4">
        <v>66447</v>
      </c>
      <c r="O17" s="72">
        <v>6.2</v>
      </c>
      <c r="P17" s="4">
        <v>24676</v>
      </c>
      <c r="Q17" s="72">
        <v>5.6</v>
      </c>
      <c r="R17" s="4">
        <v>23669</v>
      </c>
      <c r="S17" s="72">
        <v>6.3261481262410753</v>
      </c>
      <c r="T17" s="4">
        <v>1644</v>
      </c>
      <c r="U17" s="72">
        <v>6.1</v>
      </c>
      <c r="V17" s="4">
        <v>10877</v>
      </c>
      <c r="W17" s="72">
        <v>7.2925898685299257</v>
      </c>
      <c r="X17" s="4">
        <v>2965</v>
      </c>
      <c r="Y17" s="72">
        <v>5.5</v>
      </c>
      <c r="Z17" s="4">
        <v>2615</v>
      </c>
      <c r="AA17" s="72">
        <v>9.6999999999999993</v>
      </c>
      <c r="AB17" s="72" t="s">
        <v>114</v>
      </c>
      <c r="AC17" s="4">
        <v>15318</v>
      </c>
      <c r="AD17" s="72">
        <v>7.9</v>
      </c>
      <c r="AE17" s="4">
        <v>8761</v>
      </c>
      <c r="AF17" s="72">
        <v>6.7</v>
      </c>
      <c r="AG17" s="4">
        <v>26029</v>
      </c>
      <c r="AH17" s="72">
        <v>4.9000000000000004</v>
      </c>
      <c r="AJ17" s="72" t="s">
        <v>114</v>
      </c>
      <c r="AK17" s="2">
        <v>1469</v>
      </c>
      <c r="AL17" s="18">
        <v>3</v>
      </c>
    </row>
    <row r="18" spans="1:38" ht="17.25" customHeight="1" x14ac:dyDescent="0.25">
      <c r="A18" s="1" t="s">
        <v>65</v>
      </c>
      <c r="B18" s="66">
        <f>B12-B15-B16-B17-B19</f>
        <v>18354.380800000003</v>
      </c>
      <c r="C18" s="7"/>
      <c r="D18" s="66">
        <f>D12-D15-D16-D17-D19</f>
        <v>22184.387572602966</v>
      </c>
      <c r="M18" s="1" t="s">
        <v>115</v>
      </c>
      <c r="N18" s="4">
        <v>10338</v>
      </c>
      <c r="O18" s="72">
        <v>5.6</v>
      </c>
      <c r="P18" s="4">
        <v>3914</v>
      </c>
      <c r="Q18" s="72">
        <v>5.3</v>
      </c>
      <c r="R18" s="4">
        <v>3539</v>
      </c>
      <c r="S18" s="72">
        <v>5.1090138457191294</v>
      </c>
      <c r="T18" s="4">
        <v>230</v>
      </c>
      <c r="U18" s="72">
        <v>12.2</v>
      </c>
      <c r="V18" s="4">
        <v>1913</v>
      </c>
      <c r="W18" s="72">
        <v>6.8372713016204916</v>
      </c>
      <c r="X18" s="4">
        <v>496</v>
      </c>
      <c r="Y18" s="72">
        <v>5.5</v>
      </c>
      <c r="Z18" s="4">
        <v>246</v>
      </c>
      <c r="AA18" s="72">
        <v>6.7</v>
      </c>
      <c r="AB18" s="72" t="s">
        <v>115</v>
      </c>
      <c r="AC18" s="4">
        <v>2036</v>
      </c>
      <c r="AD18" s="72">
        <v>7.8</v>
      </c>
      <c r="AE18" s="4">
        <v>1770</v>
      </c>
      <c r="AF18" s="72">
        <v>8.9</v>
      </c>
      <c r="AG18" s="4">
        <v>3614</v>
      </c>
      <c r="AH18" s="72">
        <v>5.0999999999999996</v>
      </c>
      <c r="AJ18" s="72" t="s">
        <v>115</v>
      </c>
      <c r="AK18" s="2">
        <v>237</v>
      </c>
      <c r="AL18" s="18">
        <v>2.6</v>
      </c>
    </row>
    <row r="19" spans="1:38" ht="18.75" x14ac:dyDescent="0.25">
      <c r="A19" s="306" t="s">
        <v>349</v>
      </c>
      <c r="B19" s="14">
        <f>0.1088*B12</f>
        <v>20977.619199999997</v>
      </c>
      <c r="C19" s="2"/>
      <c r="D19" s="14">
        <f>0.118*D12</f>
        <v>32877.10628339964</v>
      </c>
      <c r="M19" s="1" t="s">
        <v>116</v>
      </c>
      <c r="N19" s="4">
        <v>11315</v>
      </c>
      <c r="O19" s="72">
        <v>7.4</v>
      </c>
      <c r="P19" s="4">
        <v>4963</v>
      </c>
      <c r="Q19" s="72">
        <v>7.9</v>
      </c>
      <c r="R19" s="4">
        <v>3294</v>
      </c>
      <c r="S19" s="72">
        <v>6.5034608378870677</v>
      </c>
      <c r="T19" s="4">
        <v>292</v>
      </c>
      <c r="U19" s="72">
        <v>10.6</v>
      </c>
      <c r="V19" s="4">
        <v>1545</v>
      </c>
      <c r="W19" s="72">
        <v>7.4999352750809063</v>
      </c>
      <c r="X19" s="4">
        <v>598</v>
      </c>
      <c r="Y19" s="72">
        <v>6.3</v>
      </c>
      <c r="Z19" s="4">
        <v>625</v>
      </c>
      <c r="AA19" s="72">
        <v>9</v>
      </c>
      <c r="AB19" s="72" t="s">
        <v>116</v>
      </c>
      <c r="AC19" s="4">
        <v>2370</v>
      </c>
      <c r="AD19" s="72">
        <v>9</v>
      </c>
      <c r="AE19" s="4">
        <v>1540</v>
      </c>
      <c r="AF19" s="72">
        <v>8.3000000000000007</v>
      </c>
      <c r="AG19" s="4">
        <v>3827</v>
      </c>
      <c r="AH19" s="72">
        <v>6.1</v>
      </c>
      <c r="AJ19" s="72" t="s">
        <v>116</v>
      </c>
      <c r="AK19" s="2">
        <v>271</v>
      </c>
      <c r="AL19" s="18">
        <v>3.1</v>
      </c>
    </row>
    <row r="20" spans="1:38" x14ac:dyDescent="0.25">
      <c r="A20" s="237" t="s">
        <v>16</v>
      </c>
      <c r="B20" s="307">
        <f>B12</f>
        <v>192809</v>
      </c>
      <c r="D20" s="11">
        <f>SUM(D15:D19)</f>
        <v>278619.54477457324</v>
      </c>
      <c r="M20" s="1" t="s">
        <v>117</v>
      </c>
      <c r="N20" s="4">
        <v>106306</v>
      </c>
      <c r="O20" s="72">
        <v>5.4</v>
      </c>
      <c r="P20" s="4">
        <v>43497</v>
      </c>
      <c r="Q20" s="72">
        <v>5</v>
      </c>
      <c r="R20" s="4">
        <v>33098</v>
      </c>
      <c r="S20" s="72">
        <v>5.5553870324490902</v>
      </c>
      <c r="T20" s="4">
        <v>2805</v>
      </c>
      <c r="U20" s="72">
        <v>7.2</v>
      </c>
      <c r="V20" s="4">
        <v>14601</v>
      </c>
      <c r="W20" s="72">
        <v>6.5755427710430796</v>
      </c>
      <c r="X20" s="4">
        <v>6653</v>
      </c>
      <c r="Y20" s="72">
        <v>4.5</v>
      </c>
      <c r="Z20" s="4">
        <v>5652</v>
      </c>
      <c r="AA20" s="72">
        <v>6.6</v>
      </c>
      <c r="AB20" s="72" t="s">
        <v>117</v>
      </c>
      <c r="AC20" s="4">
        <v>22520</v>
      </c>
      <c r="AD20" s="72">
        <v>6.5</v>
      </c>
      <c r="AE20" s="4">
        <v>15397</v>
      </c>
      <c r="AF20" s="72">
        <v>7.5</v>
      </c>
      <c r="AG20" s="4">
        <v>40358</v>
      </c>
      <c r="AH20" s="72">
        <v>5.0999999999999996</v>
      </c>
      <c r="AJ20" s="72" t="s">
        <v>117</v>
      </c>
      <c r="AK20" s="2">
        <v>2026</v>
      </c>
      <c r="AL20" s="18">
        <v>1.2</v>
      </c>
    </row>
    <row r="21" spans="1:38" x14ac:dyDescent="0.25">
      <c r="A21" s="238"/>
      <c r="B21" s="84"/>
      <c r="D21" s="11"/>
      <c r="M21" s="1" t="s">
        <v>118</v>
      </c>
      <c r="N21" s="4">
        <v>54741</v>
      </c>
      <c r="O21" s="72">
        <v>6</v>
      </c>
      <c r="P21" s="4">
        <v>23027</v>
      </c>
      <c r="Q21" s="72">
        <v>6.2</v>
      </c>
      <c r="R21" s="4">
        <v>15901</v>
      </c>
      <c r="S21" s="72">
        <v>5.9574555059430221</v>
      </c>
      <c r="T21" s="4">
        <v>1069</v>
      </c>
      <c r="U21" s="72">
        <v>7.8</v>
      </c>
      <c r="V21" s="4">
        <v>8465</v>
      </c>
      <c r="W21" s="72">
        <v>6.7699232132309515</v>
      </c>
      <c r="X21" s="4">
        <v>3828</v>
      </c>
      <c r="Y21" s="72">
        <v>4.2</v>
      </c>
      <c r="Z21" s="4">
        <v>2450</v>
      </c>
      <c r="AA21" s="72">
        <v>5.7</v>
      </c>
      <c r="AB21" s="72" t="s">
        <v>118</v>
      </c>
      <c r="AC21" s="4">
        <v>12042</v>
      </c>
      <c r="AD21" s="72">
        <v>7.5</v>
      </c>
      <c r="AE21" s="4">
        <v>8868</v>
      </c>
      <c r="AF21" s="72">
        <v>6.8</v>
      </c>
      <c r="AG21" s="4">
        <v>16948</v>
      </c>
      <c r="AH21" s="72">
        <v>3</v>
      </c>
      <c r="AJ21" s="72" t="s">
        <v>118</v>
      </c>
      <c r="AK21" s="2">
        <v>1124</v>
      </c>
      <c r="AL21" s="18">
        <v>1.6</v>
      </c>
    </row>
    <row r="22" spans="1:38" ht="15.75" customHeight="1" x14ac:dyDescent="0.25">
      <c r="A22" s="238" t="s">
        <v>23</v>
      </c>
      <c r="B22" s="84"/>
      <c r="D22" s="11"/>
      <c r="M22" s="1" t="s">
        <v>119</v>
      </c>
      <c r="N22" s="4">
        <v>25487</v>
      </c>
      <c r="O22" s="72">
        <v>5.6</v>
      </c>
      <c r="P22" s="4">
        <v>10231</v>
      </c>
      <c r="Q22" s="72">
        <v>5.5</v>
      </c>
      <c r="R22" s="4">
        <v>6733</v>
      </c>
      <c r="S22" s="72">
        <v>5.2695975048269714</v>
      </c>
      <c r="T22" s="4">
        <v>548</v>
      </c>
      <c r="U22" s="72">
        <v>7.8</v>
      </c>
      <c r="V22" s="4">
        <v>4001</v>
      </c>
      <c r="W22" s="72">
        <v>6.8753311672081985</v>
      </c>
      <c r="X22" s="4">
        <v>2059</v>
      </c>
      <c r="Y22" s="72">
        <v>4.5</v>
      </c>
      <c r="Z22" s="4">
        <v>1914</v>
      </c>
      <c r="AA22" s="72">
        <v>6.7</v>
      </c>
      <c r="AB22" s="72" t="s">
        <v>119</v>
      </c>
      <c r="AC22" s="4">
        <v>5224</v>
      </c>
      <c r="AD22" s="72">
        <v>6.5</v>
      </c>
      <c r="AE22" s="4">
        <v>4059</v>
      </c>
      <c r="AF22" s="72">
        <v>6.8</v>
      </c>
      <c r="AG22" s="4">
        <v>9004</v>
      </c>
      <c r="AH22" s="72">
        <v>5</v>
      </c>
      <c r="AJ22" s="72" t="s">
        <v>119</v>
      </c>
      <c r="AK22" s="2">
        <v>561</v>
      </c>
      <c r="AL22" s="18">
        <v>0.9</v>
      </c>
    </row>
    <row r="23" spans="1:38" ht="15.75" customHeight="1" x14ac:dyDescent="0.25">
      <c r="A23" s="237" t="s">
        <v>24</v>
      </c>
      <c r="B23" s="84"/>
      <c r="D23" s="1"/>
      <c r="M23" s="1" t="s">
        <v>120</v>
      </c>
      <c r="N23" s="4">
        <v>22183</v>
      </c>
      <c r="O23" s="72">
        <v>5.5</v>
      </c>
      <c r="P23" s="4">
        <v>8593</v>
      </c>
      <c r="Q23" s="72">
        <v>5.2</v>
      </c>
      <c r="R23" s="4">
        <v>6731</v>
      </c>
      <c r="S23" s="72">
        <v>5.1131035507354037</v>
      </c>
      <c r="T23" s="4">
        <v>400</v>
      </c>
      <c r="U23" s="72">
        <v>6.9</v>
      </c>
      <c r="V23" s="4">
        <v>3606</v>
      </c>
      <c r="W23" s="72">
        <v>7.0188019966722139</v>
      </c>
      <c r="X23" s="4">
        <v>1643</v>
      </c>
      <c r="Y23" s="72">
        <v>4.5999999999999996</v>
      </c>
      <c r="Z23" s="4">
        <v>1209</v>
      </c>
      <c r="AA23" s="72">
        <v>6.6</v>
      </c>
      <c r="AB23" s="72" t="s">
        <v>120</v>
      </c>
      <c r="AC23" s="4">
        <v>4828</v>
      </c>
      <c r="AD23" s="72">
        <v>6.6</v>
      </c>
      <c r="AE23" s="4">
        <v>2372</v>
      </c>
      <c r="AF23" s="72">
        <v>5.8</v>
      </c>
      <c r="AG23" s="4">
        <v>8951</v>
      </c>
      <c r="AH23" s="72">
        <v>5.7</v>
      </c>
      <c r="AJ23" s="72" t="s">
        <v>120</v>
      </c>
      <c r="AK23" s="2">
        <v>477</v>
      </c>
      <c r="AL23" s="18">
        <v>1.1000000000000001</v>
      </c>
    </row>
    <row r="24" spans="1:38" ht="15.75" customHeight="1" x14ac:dyDescent="0.25">
      <c r="A24" s="235" t="s">
        <v>225</v>
      </c>
      <c r="B24" s="236">
        <v>2.4899999999999999E-2</v>
      </c>
      <c r="D24" s="11">
        <f>B24*(D$12-D$17)</f>
        <v>4745.8020353695856</v>
      </c>
      <c r="M24" s="1" t="s">
        <v>121</v>
      </c>
      <c r="N24" s="4">
        <v>35323</v>
      </c>
      <c r="O24" s="72">
        <v>6.2</v>
      </c>
      <c r="P24" s="4">
        <v>14198</v>
      </c>
      <c r="Q24" s="72">
        <v>5.8</v>
      </c>
      <c r="R24" s="4">
        <v>10266</v>
      </c>
      <c r="S24" s="72">
        <v>6.0537307617377749</v>
      </c>
      <c r="T24" s="4">
        <v>705</v>
      </c>
      <c r="U24" s="72">
        <v>5.6</v>
      </c>
      <c r="V24" s="4">
        <v>5946</v>
      </c>
      <c r="W24" s="72">
        <v>7.1011099899091823</v>
      </c>
      <c r="X24" s="4">
        <v>2101</v>
      </c>
      <c r="Y24" s="72">
        <v>5.2</v>
      </c>
      <c r="Z24" s="4">
        <v>2106</v>
      </c>
      <c r="AA24" s="72">
        <v>10.7</v>
      </c>
      <c r="AB24" s="72" t="s">
        <v>121</v>
      </c>
      <c r="AC24" s="4">
        <v>8768</v>
      </c>
      <c r="AD24" s="72">
        <v>7.4</v>
      </c>
      <c r="AE24" s="4">
        <v>7425</v>
      </c>
      <c r="AF24" s="72">
        <v>8.3000000000000007</v>
      </c>
      <c r="AG24" s="4">
        <v>11830</v>
      </c>
      <c r="AH24" s="72">
        <v>5.8</v>
      </c>
      <c r="AJ24" s="72" t="s">
        <v>121</v>
      </c>
      <c r="AK24" s="2">
        <v>846</v>
      </c>
      <c r="AL24" s="18">
        <v>1.9</v>
      </c>
    </row>
    <row r="25" spans="1:38" ht="15.75" customHeight="1" x14ac:dyDescent="0.25">
      <c r="A25" s="237" t="s">
        <v>195</v>
      </c>
      <c r="B25" s="84"/>
      <c r="D25" s="4"/>
      <c r="M25" s="1" t="s">
        <v>122</v>
      </c>
      <c r="N25" s="4">
        <v>36324</v>
      </c>
      <c r="O25" s="72">
        <v>5.2</v>
      </c>
      <c r="P25" s="4">
        <v>14174</v>
      </c>
      <c r="Q25" s="72">
        <v>4.5999999999999996</v>
      </c>
      <c r="R25" s="4">
        <v>10442</v>
      </c>
      <c r="S25" s="72">
        <v>5.1994637042712126</v>
      </c>
      <c r="T25" s="4">
        <v>1316</v>
      </c>
      <c r="U25" s="72">
        <v>8.6999999999999993</v>
      </c>
      <c r="V25" s="4">
        <v>6312</v>
      </c>
      <c r="W25" s="72">
        <v>6.9761406844106464</v>
      </c>
      <c r="X25" s="4">
        <v>1854</v>
      </c>
      <c r="Y25" s="72">
        <v>4.4000000000000004</v>
      </c>
      <c r="Z25" s="4">
        <v>2226</v>
      </c>
      <c r="AA25" s="72">
        <v>5.5</v>
      </c>
      <c r="AB25" s="72" t="s">
        <v>122</v>
      </c>
      <c r="AC25" s="4">
        <v>9123</v>
      </c>
      <c r="AD25" s="72">
        <v>6.5</v>
      </c>
      <c r="AE25" s="4">
        <v>7082</v>
      </c>
      <c r="AF25" s="72">
        <v>5.7</v>
      </c>
      <c r="AG25" s="4">
        <v>11034</v>
      </c>
      <c r="AH25" s="72">
        <v>5.3</v>
      </c>
      <c r="AJ25" s="72" t="s">
        <v>122</v>
      </c>
      <c r="AK25" s="2">
        <v>772</v>
      </c>
      <c r="AL25" s="18">
        <v>1.6</v>
      </c>
    </row>
    <row r="26" spans="1:38" ht="15.75" customHeight="1" x14ac:dyDescent="0.25">
      <c r="A26" s="235" t="s">
        <v>238</v>
      </c>
      <c r="B26" s="236">
        <v>0.247</v>
      </c>
      <c r="D26" s="17">
        <f>B26*D$17</f>
        <v>21742.196124127313</v>
      </c>
      <c r="M26" s="1" t="s">
        <v>63</v>
      </c>
      <c r="N26" s="4">
        <v>12684</v>
      </c>
      <c r="O26" s="72">
        <v>6.2</v>
      </c>
      <c r="P26" s="4">
        <v>5261</v>
      </c>
      <c r="Q26" s="72">
        <v>6.5</v>
      </c>
      <c r="R26" s="4">
        <v>3179</v>
      </c>
      <c r="S26" s="72">
        <v>5.6928908461780434</v>
      </c>
      <c r="T26" s="4">
        <v>270</v>
      </c>
      <c r="U26" s="72">
        <v>5.8</v>
      </c>
      <c r="V26" s="4">
        <v>1725</v>
      </c>
      <c r="W26" s="72">
        <v>7.4090434782608687</v>
      </c>
      <c r="X26" s="4">
        <v>785</v>
      </c>
      <c r="Y26" s="72">
        <v>3.5</v>
      </c>
      <c r="Z26" s="4">
        <v>1463</v>
      </c>
      <c r="AA26" s="72">
        <v>7.7</v>
      </c>
      <c r="AB26" s="72" t="s">
        <v>63</v>
      </c>
      <c r="AC26" s="4">
        <v>2791</v>
      </c>
      <c r="AD26" s="72">
        <v>7.8</v>
      </c>
      <c r="AE26" s="4">
        <v>2362</v>
      </c>
      <c r="AF26" s="72">
        <v>6.8</v>
      </c>
      <c r="AG26" s="4">
        <v>4147</v>
      </c>
      <c r="AH26" s="72">
        <v>5.5</v>
      </c>
      <c r="AJ26" s="72" t="s">
        <v>63</v>
      </c>
      <c r="AK26" s="2">
        <v>299</v>
      </c>
      <c r="AL26" s="18">
        <v>2.1</v>
      </c>
    </row>
    <row r="27" spans="1:38" ht="15.75" customHeight="1" x14ac:dyDescent="0.25">
      <c r="A27" s="223" t="s">
        <v>232</v>
      </c>
      <c r="B27" s="16"/>
      <c r="D27" s="11">
        <f>SUM(D24:D26)</f>
        <v>26487.998159496899</v>
      </c>
      <c r="M27" s="1" t="s">
        <v>123</v>
      </c>
      <c r="N27" s="4">
        <v>51330</v>
      </c>
      <c r="O27" s="72">
        <v>6</v>
      </c>
      <c r="P27" s="4">
        <v>19589</v>
      </c>
      <c r="Q27" s="72">
        <v>5.7</v>
      </c>
      <c r="R27" s="4">
        <v>16474</v>
      </c>
      <c r="S27" s="72">
        <v>5.4162619885880785</v>
      </c>
      <c r="T27" s="4">
        <v>1055</v>
      </c>
      <c r="U27" s="72">
        <v>6.5</v>
      </c>
      <c r="V27" s="4">
        <v>7598</v>
      </c>
      <c r="W27" s="72">
        <v>7.0122005790997637</v>
      </c>
      <c r="X27" s="4">
        <v>3737</v>
      </c>
      <c r="Y27" s="72">
        <v>6.3</v>
      </c>
      <c r="Z27" s="4">
        <v>2877</v>
      </c>
      <c r="AA27" s="72">
        <v>9</v>
      </c>
      <c r="AB27" s="72" t="s">
        <v>123</v>
      </c>
      <c r="AC27" s="4">
        <v>10857</v>
      </c>
      <c r="AD27" s="72">
        <v>7.2</v>
      </c>
      <c r="AE27" s="4">
        <v>8771</v>
      </c>
      <c r="AF27" s="72">
        <v>7.9</v>
      </c>
      <c r="AG27" s="4">
        <v>17297</v>
      </c>
      <c r="AH27" s="72">
        <v>5.3</v>
      </c>
      <c r="AJ27" s="72" t="s">
        <v>123</v>
      </c>
      <c r="AK27" s="2">
        <v>905</v>
      </c>
      <c r="AL27" s="18">
        <v>2.2000000000000002</v>
      </c>
    </row>
    <row r="28" spans="1:38" ht="16.5" customHeight="1" x14ac:dyDescent="0.25">
      <c r="A28" s="13"/>
      <c r="B28" s="13"/>
      <c r="M28" s="1" t="s">
        <v>124</v>
      </c>
      <c r="N28" s="4">
        <v>71274</v>
      </c>
      <c r="O28" s="72">
        <v>5.7</v>
      </c>
      <c r="P28" s="4">
        <v>26544</v>
      </c>
      <c r="Q28" s="72">
        <v>5.2</v>
      </c>
      <c r="R28" s="4">
        <v>20555</v>
      </c>
      <c r="S28" s="72">
        <v>5.7278375091218683</v>
      </c>
      <c r="T28" s="4">
        <v>4503</v>
      </c>
      <c r="U28" s="72">
        <v>9.1999999999999993</v>
      </c>
      <c r="V28" s="4">
        <v>9587</v>
      </c>
      <c r="W28" s="72">
        <v>7.2200688432252011</v>
      </c>
      <c r="X28" s="4">
        <v>4860</v>
      </c>
      <c r="Y28" s="72">
        <v>3.4</v>
      </c>
      <c r="Z28" s="4">
        <v>5225</v>
      </c>
      <c r="AA28" s="72">
        <v>6.7</v>
      </c>
      <c r="AB28" s="72" t="s">
        <v>124</v>
      </c>
      <c r="AC28" s="4">
        <v>14152</v>
      </c>
      <c r="AD28" s="72">
        <v>6.3</v>
      </c>
      <c r="AE28" s="4">
        <v>13758</v>
      </c>
      <c r="AF28" s="72">
        <v>6.2</v>
      </c>
      <c r="AG28" s="4">
        <v>23606</v>
      </c>
      <c r="AH28" s="72">
        <v>5</v>
      </c>
      <c r="AJ28" s="72" t="s">
        <v>124</v>
      </c>
      <c r="AK28" s="2">
        <v>1189</v>
      </c>
      <c r="AL28" s="18">
        <v>1.3</v>
      </c>
    </row>
    <row r="29" spans="1:38" ht="15.75" customHeight="1" x14ac:dyDescent="0.25">
      <c r="A29" s="3"/>
      <c r="B29" s="3"/>
      <c r="M29" s="1" t="s">
        <v>125</v>
      </c>
      <c r="N29" s="4">
        <v>79874</v>
      </c>
      <c r="O29" s="72">
        <v>5.2</v>
      </c>
      <c r="P29" s="4">
        <v>32287</v>
      </c>
      <c r="Q29" s="72">
        <v>5</v>
      </c>
      <c r="R29" s="4">
        <v>23613</v>
      </c>
      <c r="S29" s="72">
        <v>4.830229111082879</v>
      </c>
      <c r="T29" s="4">
        <v>2861</v>
      </c>
      <c r="U29" s="72">
        <v>8.1999999999999993</v>
      </c>
      <c r="V29" s="4">
        <v>13672</v>
      </c>
      <c r="W29" s="72">
        <v>6.2801930953774141</v>
      </c>
      <c r="X29" s="4">
        <v>4735</v>
      </c>
      <c r="Y29" s="72">
        <v>5</v>
      </c>
      <c r="Z29" s="4">
        <v>2706</v>
      </c>
      <c r="AA29" s="72">
        <v>4.2</v>
      </c>
      <c r="AB29" s="72" t="s">
        <v>125</v>
      </c>
      <c r="AC29" s="4">
        <v>20970</v>
      </c>
      <c r="AD29" s="72">
        <v>7</v>
      </c>
      <c r="AE29" s="4">
        <v>12481</v>
      </c>
      <c r="AF29" s="72">
        <v>6.3</v>
      </c>
      <c r="AG29" s="4">
        <v>25935</v>
      </c>
      <c r="AH29" s="72">
        <v>2.6</v>
      </c>
      <c r="AJ29" s="72" t="s">
        <v>125</v>
      </c>
      <c r="AK29" s="2">
        <v>1853</v>
      </c>
      <c r="AL29" s="18">
        <v>1.7</v>
      </c>
    </row>
    <row r="30" spans="1:38" x14ac:dyDescent="0.25">
      <c r="A30" s="3" t="s">
        <v>87</v>
      </c>
      <c r="B30" s="3"/>
      <c r="E30" s="11"/>
      <c r="M30" s="1" t="s">
        <v>126</v>
      </c>
      <c r="N30" s="4">
        <v>48377</v>
      </c>
      <c r="O30" s="72">
        <v>6.3</v>
      </c>
      <c r="P30" s="4">
        <v>18396</v>
      </c>
      <c r="Q30" s="72">
        <v>6.8</v>
      </c>
      <c r="R30" s="4">
        <v>13260</v>
      </c>
      <c r="S30" s="72">
        <v>5.7326847662141773</v>
      </c>
      <c r="T30" s="4">
        <v>2860</v>
      </c>
      <c r="U30" s="72">
        <v>12</v>
      </c>
      <c r="V30" s="4">
        <v>5941</v>
      </c>
      <c r="W30" s="72">
        <v>6.9535936710991404</v>
      </c>
      <c r="X30" s="4">
        <v>3190</v>
      </c>
      <c r="Y30" s="72">
        <v>3.2</v>
      </c>
      <c r="Z30" s="4">
        <v>4730</v>
      </c>
      <c r="AA30" s="72">
        <v>6.4</v>
      </c>
      <c r="AB30" s="72" t="s">
        <v>126</v>
      </c>
      <c r="AC30" s="4">
        <v>8801</v>
      </c>
      <c r="AD30" s="72">
        <v>7.5</v>
      </c>
      <c r="AE30" s="4">
        <v>9665</v>
      </c>
      <c r="AF30" s="72">
        <v>7.4</v>
      </c>
      <c r="AG30" s="4">
        <v>17433</v>
      </c>
      <c r="AH30" s="72">
        <v>5.3</v>
      </c>
      <c r="AJ30" s="72" t="s">
        <v>126</v>
      </c>
      <c r="AK30" s="2">
        <v>888</v>
      </c>
      <c r="AL30" s="18">
        <v>1.7</v>
      </c>
    </row>
    <row r="31" spans="1:38" ht="48" customHeight="1" x14ac:dyDescent="0.25">
      <c r="A31" s="318" t="s">
        <v>84</v>
      </c>
      <c r="B31" s="317"/>
      <c r="C31" s="317"/>
      <c r="D31" s="317"/>
      <c r="E31" s="11"/>
      <c r="M31" s="1" t="s">
        <v>127</v>
      </c>
      <c r="N31" s="4">
        <v>22879</v>
      </c>
      <c r="O31" s="72">
        <v>6.3</v>
      </c>
      <c r="P31" s="4">
        <v>9658</v>
      </c>
      <c r="Q31" s="72">
        <v>5.9</v>
      </c>
      <c r="R31" s="4">
        <v>6008</v>
      </c>
      <c r="S31" s="72">
        <v>5.8931424766977365</v>
      </c>
      <c r="T31" s="4">
        <v>635</v>
      </c>
      <c r="U31" s="72">
        <v>6.3</v>
      </c>
      <c r="V31" s="4">
        <v>3879</v>
      </c>
      <c r="W31" s="72">
        <v>7.1364526939932968</v>
      </c>
      <c r="X31" s="4">
        <v>1346</v>
      </c>
      <c r="Y31" s="72">
        <v>6.1</v>
      </c>
      <c r="Z31" s="4">
        <v>1353</v>
      </c>
      <c r="AA31" s="72">
        <v>11</v>
      </c>
      <c r="AB31" s="72" t="s">
        <v>127</v>
      </c>
      <c r="AC31" s="4">
        <v>6053</v>
      </c>
      <c r="AD31" s="72">
        <v>7.3</v>
      </c>
      <c r="AE31" s="4">
        <v>4569</v>
      </c>
      <c r="AF31" s="72">
        <v>7.8</v>
      </c>
      <c r="AG31" s="4">
        <v>6148</v>
      </c>
      <c r="AH31" s="72">
        <v>4.5</v>
      </c>
      <c r="AJ31" s="72" t="s">
        <v>127</v>
      </c>
      <c r="AK31" s="2">
        <v>549</v>
      </c>
      <c r="AL31" s="18">
        <v>1.7</v>
      </c>
    </row>
    <row r="32" spans="1:38" ht="33" customHeight="1" x14ac:dyDescent="0.25">
      <c r="A32" s="319" t="s">
        <v>237</v>
      </c>
      <c r="B32" s="317"/>
      <c r="C32" s="317"/>
      <c r="D32" s="317"/>
      <c r="E32" s="11"/>
      <c r="M32" s="1" t="s">
        <v>128</v>
      </c>
      <c r="N32" s="4">
        <v>49137</v>
      </c>
      <c r="O32" s="72">
        <v>5.9</v>
      </c>
      <c r="P32" s="4">
        <v>21164</v>
      </c>
      <c r="Q32" s="72">
        <v>5.7</v>
      </c>
      <c r="R32" s="4">
        <v>12513</v>
      </c>
      <c r="S32" s="72">
        <v>5.4711899624390634</v>
      </c>
      <c r="T32" s="4">
        <v>1374</v>
      </c>
      <c r="U32" s="72">
        <v>7.9</v>
      </c>
      <c r="V32" s="4">
        <v>8363</v>
      </c>
      <c r="W32" s="72">
        <v>7.7146119813464074</v>
      </c>
      <c r="X32" s="4">
        <v>3218</v>
      </c>
      <c r="Y32" s="72">
        <v>4.5</v>
      </c>
      <c r="Z32" s="4">
        <v>2505</v>
      </c>
      <c r="AA32" s="72">
        <v>7.9</v>
      </c>
      <c r="AB32" s="72" t="s">
        <v>128</v>
      </c>
      <c r="AC32" s="4">
        <v>11638</v>
      </c>
      <c r="AD32" s="72">
        <v>6.9</v>
      </c>
      <c r="AE32" s="4">
        <v>8566</v>
      </c>
      <c r="AF32" s="72">
        <v>8.8000000000000007</v>
      </c>
      <c r="AG32" s="4">
        <v>16521</v>
      </c>
      <c r="AH32" s="72">
        <v>5.4</v>
      </c>
      <c r="AJ32" s="72" t="s">
        <v>128</v>
      </c>
      <c r="AK32" s="2">
        <v>1113</v>
      </c>
      <c r="AL32" s="18">
        <v>1.5</v>
      </c>
    </row>
    <row r="33" spans="1:38" ht="26.25" customHeight="1" x14ac:dyDescent="0.25">
      <c r="A33" s="229" t="s">
        <v>66</v>
      </c>
      <c r="B33" s="305"/>
      <c r="C33" s="305"/>
      <c r="D33" s="305"/>
      <c r="E33" s="11"/>
      <c r="M33" s="1" t="s">
        <v>129</v>
      </c>
      <c r="N33" s="4">
        <v>8409</v>
      </c>
      <c r="O33" s="72">
        <v>6.7</v>
      </c>
      <c r="P33" s="4">
        <v>3807</v>
      </c>
      <c r="Q33" s="72">
        <v>7</v>
      </c>
      <c r="R33" s="4">
        <v>2402</v>
      </c>
      <c r="S33" s="72">
        <v>6.3430474604496245</v>
      </c>
      <c r="T33" s="4">
        <v>155</v>
      </c>
      <c r="U33" s="72">
        <v>6.7</v>
      </c>
      <c r="V33" s="4">
        <v>1054</v>
      </c>
      <c r="W33" s="72">
        <v>6.5037950664136623</v>
      </c>
      <c r="X33" s="4">
        <v>431</v>
      </c>
      <c r="Y33" s="72">
        <v>4.8</v>
      </c>
      <c r="Z33" s="4">
        <v>559</v>
      </c>
      <c r="AA33" s="72">
        <v>8.8000000000000007</v>
      </c>
      <c r="AB33" s="72" t="s">
        <v>129</v>
      </c>
      <c r="AC33" s="4">
        <v>1605</v>
      </c>
      <c r="AD33" s="72">
        <v>7.3</v>
      </c>
      <c r="AE33" s="4">
        <v>1061</v>
      </c>
      <c r="AF33" s="72">
        <v>6.5</v>
      </c>
      <c r="AG33" s="4">
        <v>2500</v>
      </c>
      <c r="AH33" s="72">
        <v>5.2</v>
      </c>
      <c r="AJ33" s="72" t="s">
        <v>129</v>
      </c>
      <c r="AK33" s="2">
        <v>195</v>
      </c>
      <c r="AL33" s="18">
        <v>2.1</v>
      </c>
    </row>
    <row r="34" spans="1:38" ht="64.5" customHeight="1" x14ac:dyDescent="0.25">
      <c r="A34" s="316" t="s">
        <v>67</v>
      </c>
      <c r="B34" s="317"/>
      <c r="C34" s="317"/>
      <c r="D34" s="317"/>
      <c r="E34" s="11"/>
      <c r="M34" s="1" t="s">
        <v>130</v>
      </c>
      <c r="N34" s="4">
        <v>15823</v>
      </c>
      <c r="O34" s="72">
        <v>6.4</v>
      </c>
      <c r="P34" s="4">
        <v>6568</v>
      </c>
      <c r="Q34" s="72">
        <v>6.2</v>
      </c>
      <c r="R34" s="4">
        <v>4476</v>
      </c>
      <c r="S34" s="72">
        <v>6.3667113494191234</v>
      </c>
      <c r="T34" s="4">
        <v>182</v>
      </c>
      <c r="U34" s="72">
        <v>6.2</v>
      </c>
      <c r="V34" s="4">
        <v>2684</v>
      </c>
      <c r="W34" s="72">
        <v>7.4499254843517138</v>
      </c>
      <c r="X34" s="4">
        <v>1138</v>
      </c>
      <c r="Y34" s="72">
        <v>5.0999999999999996</v>
      </c>
      <c r="Z34" s="4">
        <v>775</v>
      </c>
      <c r="AA34" s="72">
        <v>8</v>
      </c>
      <c r="AB34" s="72" t="s">
        <v>130</v>
      </c>
      <c r="AC34" s="4">
        <v>3042</v>
      </c>
      <c r="AD34" s="72">
        <v>7.3</v>
      </c>
      <c r="AE34" s="4">
        <v>1700</v>
      </c>
      <c r="AF34" s="72">
        <v>6.4</v>
      </c>
      <c r="AG34" s="4">
        <v>5833</v>
      </c>
      <c r="AH34" s="72">
        <v>5</v>
      </c>
      <c r="AJ34" s="72" t="s">
        <v>130</v>
      </c>
      <c r="AK34" s="2">
        <v>306</v>
      </c>
      <c r="AL34" s="18">
        <v>1.1000000000000001</v>
      </c>
    </row>
    <row r="35" spans="1:38" ht="48" customHeight="1" x14ac:dyDescent="0.25">
      <c r="A35" s="320" t="s">
        <v>350</v>
      </c>
      <c r="B35" s="317"/>
      <c r="C35" s="317"/>
      <c r="D35" s="317"/>
      <c r="E35" s="11"/>
      <c r="M35" s="1" t="s">
        <v>131</v>
      </c>
      <c r="N35" s="4">
        <v>19020</v>
      </c>
      <c r="O35" s="72">
        <v>8.1999999999999993</v>
      </c>
      <c r="P35" s="4">
        <v>6730</v>
      </c>
      <c r="Q35" s="72">
        <v>8.1</v>
      </c>
      <c r="R35" s="4">
        <v>7066</v>
      </c>
      <c r="S35" s="72">
        <v>7.6261958675346726</v>
      </c>
      <c r="T35" s="4">
        <v>661</v>
      </c>
      <c r="U35" s="72">
        <v>11.4</v>
      </c>
      <c r="V35" s="4">
        <v>3162</v>
      </c>
      <c r="W35" s="72">
        <v>9.2652751423149908</v>
      </c>
      <c r="X35" s="4">
        <v>709</v>
      </c>
      <c r="Y35" s="72">
        <v>8.3000000000000007</v>
      </c>
      <c r="Z35" s="4">
        <v>691</v>
      </c>
      <c r="AA35" s="72">
        <v>10.4</v>
      </c>
      <c r="AB35" s="72" t="s">
        <v>131</v>
      </c>
      <c r="AC35" s="4">
        <v>4695</v>
      </c>
      <c r="AD35" s="72">
        <v>10.199999999999999</v>
      </c>
      <c r="AE35" s="4">
        <v>2348</v>
      </c>
      <c r="AF35" s="72">
        <v>10.6</v>
      </c>
      <c r="AG35" s="4">
        <v>5789</v>
      </c>
      <c r="AH35" s="72">
        <v>5.0999999999999996</v>
      </c>
      <c r="AJ35" s="72" t="s">
        <v>131</v>
      </c>
      <c r="AK35" s="2">
        <v>435</v>
      </c>
      <c r="AL35" s="18">
        <v>4.7</v>
      </c>
    </row>
    <row r="36" spans="1:38" ht="21.75" customHeight="1" x14ac:dyDescent="0.25">
      <c r="A36" s="316" t="s">
        <v>226</v>
      </c>
      <c r="B36" s="317"/>
      <c r="C36" s="317"/>
      <c r="D36" s="317"/>
      <c r="E36" s="11"/>
      <c r="M36" s="1" t="s">
        <v>132</v>
      </c>
      <c r="N36" s="4">
        <v>12742</v>
      </c>
      <c r="O36" s="72">
        <v>6.9</v>
      </c>
      <c r="P36" s="4">
        <v>5010</v>
      </c>
      <c r="Q36" s="72">
        <v>6.9</v>
      </c>
      <c r="R36" s="4">
        <v>4017</v>
      </c>
      <c r="S36" s="72">
        <v>6.6952452078665665</v>
      </c>
      <c r="T36" s="4">
        <v>303</v>
      </c>
      <c r="U36" s="72">
        <v>7.8</v>
      </c>
      <c r="V36" s="4">
        <v>1877</v>
      </c>
      <c r="W36" s="72">
        <v>7.418806606286628</v>
      </c>
      <c r="X36" s="4">
        <v>775</v>
      </c>
      <c r="Y36" s="72">
        <v>5.5</v>
      </c>
      <c r="Z36" s="4">
        <v>759</v>
      </c>
      <c r="AA36" s="72">
        <v>9.1</v>
      </c>
      <c r="AB36" s="72" t="s">
        <v>132</v>
      </c>
      <c r="AC36" s="4">
        <v>2431</v>
      </c>
      <c r="AD36" s="72">
        <v>8.3000000000000007</v>
      </c>
      <c r="AE36" s="4">
        <v>1319</v>
      </c>
      <c r="AF36" s="72">
        <v>6.9</v>
      </c>
      <c r="AG36" s="4">
        <v>4661</v>
      </c>
      <c r="AH36" s="72">
        <v>5.7</v>
      </c>
      <c r="AJ36" s="72" t="s">
        <v>132</v>
      </c>
      <c r="AK36" s="2">
        <v>259</v>
      </c>
      <c r="AL36" s="18">
        <v>2.7</v>
      </c>
    </row>
    <row r="37" spans="1:38" ht="34.5" customHeight="1" x14ac:dyDescent="0.25">
      <c r="A37" s="316" t="s">
        <v>239</v>
      </c>
      <c r="B37" s="317"/>
      <c r="C37" s="317"/>
      <c r="D37" s="317"/>
      <c r="E37" s="11"/>
      <c r="M37" s="1" t="s">
        <v>133</v>
      </c>
      <c r="N37" s="4">
        <v>79066</v>
      </c>
      <c r="O37" s="72">
        <v>5.5</v>
      </c>
      <c r="P37" s="4">
        <v>26014</v>
      </c>
      <c r="Q37" s="72">
        <v>4.7</v>
      </c>
      <c r="R37" s="4">
        <v>28053</v>
      </c>
      <c r="S37" s="72">
        <v>5.5261398067942817</v>
      </c>
      <c r="T37" s="4">
        <v>2178</v>
      </c>
      <c r="U37" s="72">
        <v>6.4</v>
      </c>
      <c r="V37" s="4">
        <v>13507</v>
      </c>
      <c r="W37" s="72">
        <v>7.1690382764492497</v>
      </c>
      <c r="X37" s="4">
        <v>5044</v>
      </c>
      <c r="Y37" s="72">
        <v>4.7</v>
      </c>
      <c r="Z37" s="4">
        <v>4269</v>
      </c>
      <c r="AA37" s="72">
        <v>7.8</v>
      </c>
      <c r="AB37" s="72" t="s">
        <v>133</v>
      </c>
      <c r="AC37" s="4">
        <v>18437</v>
      </c>
      <c r="AD37" s="72">
        <v>6.9</v>
      </c>
      <c r="AE37" s="4">
        <v>11934</v>
      </c>
      <c r="AF37" s="72">
        <v>6.2</v>
      </c>
      <c r="AG37" s="4">
        <v>29959</v>
      </c>
      <c r="AH37" s="72">
        <v>5.0999999999999996</v>
      </c>
      <c r="AJ37" s="72" t="s">
        <v>133</v>
      </c>
      <c r="AK37" s="2">
        <v>1462</v>
      </c>
      <c r="AL37" s="18">
        <v>1.2</v>
      </c>
    </row>
    <row r="38" spans="1:38" ht="47.25" customHeight="1" x14ac:dyDescent="0.25">
      <c r="A38" s="304"/>
      <c r="B38" s="305"/>
      <c r="C38" s="305"/>
      <c r="D38" s="305"/>
      <c r="E38" s="11"/>
      <c r="M38" s="1" t="s">
        <v>134</v>
      </c>
      <c r="N38" s="4">
        <v>15027</v>
      </c>
      <c r="O38" s="72">
        <v>6.6</v>
      </c>
      <c r="P38" s="4">
        <v>6595</v>
      </c>
      <c r="Q38" s="72">
        <v>6.4</v>
      </c>
      <c r="R38" s="4">
        <v>4596</v>
      </c>
      <c r="S38" s="72">
        <v>6.5474325500435162</v>
      </c>
      <c r="T38" s="4">
        <v>522</v>
      </c>
      <c r="U38" s="72">
        <v>11.3</v>
      </c>
      <c r="V38" s="4">
        <v>1988</v>
      </c>
      <c r="W38" s="72">
        <v>6.3783702213279678</v>
      </c>
      <c r="X38" s="4">
        <v>589</v>
      </c>
      <c r="Y38" s="72">
        <v>5.6</v>
      </c>
      <c r="Z38" s="4">
        <v>737</v>
      </c>
      <c r="AA38" s="72">
        <v>7.6</v>
      </c>
      <c r="AB38" s="72" t="s">
        <v>134</v>
      </c>
      <c r="AC38" s="4">
        <v>3126</v>
      </c>
      <c r="AD38" s="72">
        <v>8.3000000000000007</v>
      </c>
      <c r="AE38" s="4">
        <v>3822</v>
      </c>
      <c r="AF38" s="72">
        <v>10</v>
      </c>
      <c r="AG38" s="4">
        <v>4139</v>
      </c>
      <c r="AH38" s="72">
        <v>4.9000000000000004</v>
      </c>
      <c r="AJ38" s="72" t="s">
        <v>134</v>
      </c>
      <c r="AK38" s="2">
        <v>361</v>
      </c>
      <c r="AL38" s="18">
        <v>2.9</v>
      </c>
    </row>
    <row r="39" spans="1:38" ht="21" customHeight="1" x14ac:dyDescent="0.25">
      <c r="D39" s="1"/>
      <c r="E39" s="11"/>
      <c r="M39" s="1" t="s">
        <v>135</v>
      </c>
      <c r="N39" s="4">
        <v>192809</v>
      </c>
      <c r="O39" s="72">
        <v>5.4</v>
      </c>
      <c r="P39" s="4">
        <v>71630</v>
      </c>
      <c r="Q39" s="72">
        <v>4.8</v>
      </c>
      <c r="R39" s="4">
        <v>49959</v>
      </c>
      <c r="S39" s="72">
        <v>5.0583798714946253</v>
      </c>
      <c r="T39" s="4">
        <v>9426</v>
      </c>
      <c r="U39" s="72">
        <v>5.0999999999999996</v>
      </c>
      <c r="V39" s="4">
        <v>31128</v>
      </c>
      <c r="W39" s="72">
        <v>7.727017476227191</v>
      </c>
      <c r="X39" s="4">
        <v>12206</v>
      </c>
      <c r="Y39" s="72">
        <v>3.7</v>
      </c>
      <c r="Z39" s="4">
        <v>18459</v>
      </c>
      <c r="AA39" s="72">
        <v>7.4</v>
      </c>
      <c r="AB39" s="72" t="s">
        <v>135</v>
      </c>
      <c r="AC39" s="4">
        <v>39926</v>
      </c>
      <c r="AD39" s="72">
        <v>6.4</v>
      </c>
      <c r="AE39" s="4">
        <v>51821</v>
      </c>
      <c r="AF39" s="72">
        <v>5.2</v>
      </c>
      <c r="AG39" s="4">
        <v>61730</v>
      </c>
      <c r="AH39" s="72">
        <v>5.2</v>
      </c>
      <c r="AJ39" s="72" t="s">
        <v>135</v>
      </c>
      <c r="AK39" s="2">
        <v>3278</v>
      </c>
      <c r="AL39" s="18">
        <v>1.1000000000000001</v>
      </c>
    </row>
    <row r="40" spans="1:38" ht="18.75" customHeight="1" x14ac:dyDescent="0.25">
      <c r="A40" s="304"/>
      <c r="B40" s="305"/>
      <c r="C40" s="305"/>
      <c r="D40" s="6"/>
      <c r="E40" s="11"/>
      <c r="M40" s="1" t="s">
        <v>136</v>
      </c>
      <c r="N40" s="4">
        <v>72160</v>
      </c>
      <c r="O40" s="72">
        <v>7</v>
      </c>
      <c r="P40" s="4">
        <v>27606</v>
      </c>
      <c r="Q40" s="72">
        <v>6.5</v>
      </c>
      <c r="R40" s="4">
        <v>21759</v>
      </c>
      <c r="S40" s="72">
        <v>6.8756514545705221</v>
      </c>
      <c r="T40" s="4">
        <v>1941</v>
      </c>
      <c r="U40" s="72">
        <v>7.5</v>
      </c>
      <c r="V40" s="4">
        <v>13706</v>
      </c>
      <c r="W40" s="72">
        <v>8.4323362031227198</v>
      </c>
      <c r="X40" s="4">
        <v>4500</v>
      </c>
      <c r="Y40" s="72">
        <v>6.5</v>
      </c>
      <c r="Z40" s="4">
        <v>2648</v>
      </c>
      <c r="AA40" s="72">
        <v>6.9</v>
      </c>
      <c r="AB40" s="72" t="s">
        <v>136</v>
      </c>
      <c r="AC40" s="4">
        <v>17640</v>
      </c>
      <c r="AD40" s="72">
        <v>8.6999999999999993</v>
      </c>
      <c r="AE40" s="4">
        <v>11911</v>
      </c>
      <c r="AF40" s="72">
        <v>8.1</v>
      </c>
      <c r="AG40" s="4">
        <v>22646</v>
      </c>
      <c r="AH40" s="72">
        <v>5.4</v>
      </c>
      <c r="AJ40" s="72" t="s">
        <v>136</v>
      </c>
      <c r="AK40" s="2">
        <v>1719</v>
      </c>
      <c r="AL40" s="18">
        <v>2.8</v>
      </c>
    </row>
    <row r="41" spans="1:38" ht="15.75" customHeight="1" x14ac:dyDescent="0.25">
      <c r="A41" s="21"/>
      <c r="B41" s="21"/>
      <c r="E41" s="11"/>
      <c r="M41" s="1" t="s">
        <v>137</v>
      </c>
      <c r="N41" s="4">
        <v>7289</v>
      </c>
      <c r="O41" s="72">
        <v>6.5</v>
      </c>
      <c r="P41" s="4">
        <v>3314</v>
      </c>
      <c r="Q41" s="72">
        <v>7.2</v>
      </c>
      <c r="R41" s="4">
        <v>1779</v>
      </c>
      <c r="S41" s="72">
        <v>5.5893760539629005</v>
      </c>
      <c r="T41" s="4">
        <v>54</v>
      </c>
      <c r="U41" s="72">
        <v>6.6</v>
      </c>
      <c r="V41" s="4">
        <v>991</v>
      </c>
      <c r="W41" s="72">
        <v>7.6784056508577194</v>
      </c>
      <c r="X41" s="4">
        <v>551</v>
      </c>
      <c r="Y41" s="72">
        <v>4.8</v>
      </c>
      <c r="Z41" s="4">
        <v>600</v>
      </c>
      <c r="AA41" s="72">
        <v>6.8</v>
      </c>
      <c r="AB41" s="72" t="s">
        <v>137</v>
      </c>
      <c r="AC41" s="4">
        <v>1105</v>
      </c>
      <c r="AD41" s="72">
        <v>6.6</v>
      </c>
      <c r="AE41" s="4">
        <v>939</v>
      </c>
      <c r="AF41" s="72">
        <v>5.9</v>
      </c>
      <c r="AG41" s="4">
        <v>2414</v>
      </c>
      <c r="AH41" s="72">
        <v>6.8</v>
      </c>
      <c r="AJ41" s="72" t="s">
        <v>137</v>
      </c>
      <c r="AK41" s="2">
        <v>117</v>
      </c>
      <c r="AL41" s="18">
        <v>0.7</v>
      </c>
    </row>
    <row r="42" spans="1:38" x14ac:dyDescent="0.25">
      <c r="M42" s="1" t="s">
        <v>138</v>
      </c>
      <c r="N42" s="4">
        <v>101013</v>
      </c>
      <c r="O42" s="72">
        <v>5.5</v>
      </c>
      <c r="P42" s="4">
        <v>44167</v>
      </c>
      <c r="Q42" s="72">
        <v>5.7</v>
      </c>
      <c r="R42" s="4">
        <v>27001</v>
      </c>
      <c r="S42" s="72">
        <v>4.7235694974260207</v>
      </c>
      <c r="T42" s="4">
        <v>3007</v>
      </c>
      <c r="U42" s="72">
        <v>8.3000000000000007</v>
      </c>
      <c r="V42" s="4">
        <v>13534</v>
      </c>
      <c r="W42" s="72">
        <v>6.2521058075956857</v>
      </c>
      <c r="X42" s="4">
        <v>7016</v>
      </c>
      <c r="Y42" s="72">
        <v>4.4000000000000004</v>
      </c>
      <c r="Z42" s="4">
        <v>6287</v>
      </c>
      <c r="AA42" s="72">
        <v>7.4</v>
      </c>
      <c r="AB42" s="72" t="s">
        <v>138</v>
      </c>
      <c r="AC42" s="4">
        <v>23274</v>
      </c>
      <c r="AD42" s="72">
        <v>6.8</v>
      </c>
      <c r="AE42" s="4">
        <v>17935</v>
      </c>
      <c r="AF42" s="72">
        <v>6.7</v>
      </c>
      <c r="AG42" s="4">
        <v>31892</v>
      </c>
      <c r="AH42" s="72">
        <v>4</v>
      </c>
      <c r="AJ42" s="72" t="s">
        <v>138</v>
      </c>
      <c r="AK42" s="2">
        <v>2108</v>
      </c>
      <c r="AL42" s="18">
        <v>1.3</v>
      </c>
    </row>
    <row r="43" spans="1:38" ht="37.5" customHeight="1" x14ac:dyDescent="0.25">
      <c r="A43" s="302"/>
      <c r="B43" s="303"/>
      <c r="C43" s="303"/>
      <c r="D43" s="303"/>
      <c r="M43" s="1" t="s">
        <v>139</v>
      </c>
      <c r="N43" s="4">
        <v>29575</v>
      </c>
      <c r="O43" s="72">
        <v>6.1</v>
      </c>
      <c r="P43" s="4">
        <v>12089</v>
      </c>
      <c r="Q43" s="72">
        <v>6</v>
      </c>
      <c r="R43" s="4">
        <v>8735</v>
      </c>
      <c r="S43" s="72">
        <v>5.8287693188322836</v>
      </c>
      <c r="T43" s="4">
        <v>755</v>
      </c>
      <c r="U43" s="72">
        <v>8</v>
      </c>
      <c r="V43" s="4">
        <v>5024</v>
      </c>
      <c r="W43" s="72">
        <v>7.3592356687898084</v>
      </c>
      <c r="X43" s="4">
        <v>1581</v>
      </c>
      <c r="Y43" s="72">
        <v>4.5</v>
      </c>
      <c r="Z43" s="4">
        <v>1392</v>
      </c>
      <c r="AA43" s="72">
        <v>6.8</v>
      </c>
      <c r="AB43" s="72" t="s">
        <v>139</v>
      </c>
      <c r="AC43" s="4">
        <v>6935</v>
      </c>
      <c r="AD43" s="72">
        <v>7.2</v>
      </c>
      <c r="AE43" s="4">
        <v>4799</v>
      </c>
      <c r="AF43" s="72">
        <v>7.5</v>
      </c>
      <c r="AG43" s="4">
        <v>9287</v>
      </c>
      <c r="AH43" s="72">
        <v>6.2</v>
      </c>
      <c r="AJ43" s="72" t="s">
        <v>139</v>
      </c>
      <c r="AK43" s="2">
        <v>665</v>
      </c>
      <c r="AL43" s="18">
        <v>1.6</v>
      </c>
    </row>
    <row r="44" spans="1:38" ht="15.75" customHeight="1" x14ac:dyDescent="0.25">
      <c r="A44" s="304"/>
      <c r="B44" s="304"/>
      <c r="M44" s="1" t="s">
        <v>140</v>
      </c>
      <c r="N44" s="4">
        <v>31920</v>
      </c>
      <c r="O44" s="72">
        <v>7</v>
      </c>
      <c r="P44" s="4">
        <v>11666</v>
      </c>
      <c r="Q44" s="72">
        <v>7.2</v>
      </c>
      <c r="R44" s="4">
        <v>10579</v>
      </c>
      <c r="S44" s="72">
        <v>6.3458833538141608</v>
      </c>
      <c r="T44" s="4">
        <v>661</v>
      </c>
      <c r="U44" s="72">
        <v>8.9</v>
      </c>
      <c r="V44" s="4">
        <v>4014</v>
      </c>
      <c r="W44" s="72">
        <v>7.0977578475336323</v>
      </c>
      <c r="X44" s="4">
        <v>1854</v>
      </c>
      <c r="Y44" s="72">
        <v>6.2</v>
      </c>
      <c r="Z44" s="4">
        <v>3146</v>
      </c>
      <c r="AA44" s="72">
        <v>9.1999999999999993</v>
      </c>
      <c r="AB44" s="72" t="s">
        <v>140</v>
      </c>
      <c r="AC44" s="4">
        <v>6506</v>
      </c>
      <c r="AD44" s="72">
        <v>7.7</v>
      </c>
      <c r="AE44" s="4">
        <v>6929</v>
      </c>
      <c r="AF44" s="72">
        <v>10.3</v>
      </c>
      <c r="AG44" s="4">
        <v>10272</v>
      </c>
      <c r="AH44" s="72">
        <v>5.4</v>
      </c>
      <c r="AJ44" s="72" t="s">
        <v>140</v>
      </c>
      <c r="AK44" s="2">
        <v>728</v>
      </c>
      <c r="AL44" s="18">
        <v>2.2999999999999998</v>
      </c>
    </row>
    <row r="45" spans="1:38" x14ac:dyDescent="0.25">
      <c r="A45" s="304"/>
      <c r="B45" s="304"/>
      <c r="M45" s="1" t="s">
        <v>141</v>
      </c>
      <c r="N45" s="4">
        <v>118419</v>
      </c>
      <c r="O45" s="72">
        <v>5.3</v>
      </c>
      <c r="P45" s="4">
        <v>43693</v>
      </c>
      <c r="Q45" s="72">
        <v>4.5</v>
      </c>
      <c r="R45" s="4">
        <v>33133</v>
      </c>
      <c r="S45" s="72">
        <v>5.0052666525820184</v>
      </c>
      <c r="T45" s="4">
        <v>3122</v>
      </c>
      <c r="U45" s="72">
        <v>7.3</v>
      </c>
      <c r="V45" s="4">
        <v>19015</v>
      </c>
      <c r="W45" s="72">
        <v>6.9814304496450168</v>
      </c>
      <c r="X45" s="4">
        <v>9906</v>
      </c>
      <c r="Y45" s="72">
        <v>5.3</v>
      </c>
      <c r="Z45" s="4">
        <v>9550</v>
      </c>
      <c r="AA45" s="72">
        <v>7.2</v>
      </c>
      <c r="AB45" s="72" t="s">
        <v>141</v>
      </c>
      <c r="AC45" s="4">
        <v>27985</v>
      </c>
      <c r="AD45" s="72">
        <v>5.3</v>
      </c>
      <c r="AE45" s="4">
        <v>20221</v>
      </c>
      <c r="AF45" s="72">
        <v>7.8</v>
      </c>
      <c r="AG45" s="4">
        <v>39542</v>
      </c>
      <c r="AH45" s="72">
        <v>4.7</v>
      </c>
      <c r="AJ45" s="72" t="s">
        <v>141</v>
      </c>
      <c r="AK45" s="2">
        <v>2489</v>
      </c>
      <c r="AL45" s="18">
        <v>1</v>
      </c>
    </row>
    <row r="46" spans="1:38" x14ac:dyDescent="0.25">
      <c r="A46" s="304"/>
      <c r="B46" s="304"/>
      <c r="M46" s="1" t="s">
        <v>142</v>
      </c>
      <c r="N46" s="4">
        <v>10071</v>
      </c>
      <c r="O46" s="72">
        <v>5.5</v>
      </c>
      <c r="P46" s="4">
        <v>3814</v>
      </c>
      <c r="Q46" s="72">
        <v>5.3</v>
      </c>
      <c r="R46" s="4">
        <v>2638</v>
      </c>
      <c r="S46" s="72">
        <v>5.0369219105382861</v>
      </c>
      <c r="T46" s="4">
        <v>266</v>
      </c>
      <c r="U46" s="72">
        <v>6.4</v>
      </c>
      <c r="V46" s="4">
        <v>1633</v>
      </c>
      <c r="W46" s="72">
        <v>7.2845682792406619</v>
      </c>
      <c r="X46" s="4">
        <v>783</v>
      </c>
      <c r="Y46" s="72">
        <v>4</v>
      </c>
      <c r="Z46" s="4">
        <v>936</v>
      </c>
      <c r="AA46" s="72">
        <v>6.5</v>
      </c>
      <c r="AB46" s="72" t="s">
        <v>142</v>
      </c>
      <c r="AC46" s="4">
        <v>2175</v>
      </c>
      <c r="AD46" s="72">
        <v>6.3</v>
      </c>
      <c r="AE46" s="4">
        <v>2261</v>
      </c>
      <c r="AF46" s="72">
        <v>6.4</v>
      </c>
      <c r="AG46" s="4">
        <v>3021</v>
      </c>
      <c r="AH46" s="72">
        <v>3.9</v>
      </c>
      <c r="AJ46" s="72" t="s">
        <v>142</v>
      </c>
      <c r="AK46" s="2">
        <v>200</v>
      </c>
      <c r="AL46" s="18">
        <v>0.9</v>
      </c>
    </row>
    <row r="47" spans="1:38" x14ac:dyDescent="0.25">
      <c r="A47" s="304"/>
      <c r="B47" s="304"/>
      <c r="M47" s="1" t="s">
        <v>143</v>
      </c>
      <c r="N47" s="4">
        <v>35299</v>
      </c>
      <c r="O47" s="72">
        <v>6.6</v>
      </c>
      <c r="P47" s="4">
        <v>14161</v>
      </c>
      <c r="Q47" s="72">
        <v>5.9</v>
      </c>
      <c r="R47" s="4">
        <v>10336</v>
      </c>
      <c r="S47" s="72">
        <v>6.586774380804953</v>
      </c>
      <c r="T47" s="4">
        <v>1056</v>
      </c>
      <c r="U47" s="72">
        <v>8.8000000000000007</v>
      </c>
      <c r="V47" s="4">
        <v>6503</v>
      </c>
      <c r="W47" s="72">
        <v>8.259418729817007</v>
      </c>
      <c r="X47" s="4">
        <v>1849</v>
      </c>
      <c r="Y47" s="72">
        <v>6.8</v>
      </c>
      <c r="Z47" s="4">
        <v>1393</v>
      </c>
      <c r="AA47" s="72">
        <v>6.5</v>
      </c>
      <c r="AB47" s="72" t="s">
        <v>143</v>
      </c>
      <c r="AC47" s="4">
        <v>9369</v>
      </c>
      <c r="AD47" s="72">
        <v>9.1999999999999993</v>
      </c>
      <c r="AE47" s="4">
        <v>5061</v>
      </c>
      <c r="AF47" s="72">
        <v>6.3</v>
      </c>
      <c r="AG47" s="4">
        <v>11980</v>
      </c>
      <c r="AH47" s="72">
        <v>5.2</v>
      </c>
      <c r="AJ47" s="72" t="s">
        <v>143</v>
      </c>
      <c r="AK47" s="2">
        <v>910</v>
      </c>
      <c r="AL47" s="18">
        <v>3.1</v>
      </c>
    </row>
    <row r="48" spans="1:38" x14ac:dyDescent="0.25">
      <c r="A48" s="304"/>
      <c r="B48" s="304"/>
      <c r="M48" s="1" t="s">
        <v>144</v>
      </c>
      <c r="N48" s="4">
        <v>7616</v>
      </c>
      <c r="O48" s="72">
        <v>6.7</v>
      </c>
      <c r="P48" s="4">
        <v>3764</v>
      </c>
      <c r="Q48" s="72">
        <v>7.1</v>
      </c>
      <c r="R48" s="4">
        <v>1967</v>
      </c>
      <c r="S48" s="72">
        <v>6.2856634468734107</v>
      </c>
      <c r="T48" s="4">
        <v>79</v>
      </c>
      <c r="U48" s="72">
        <v>11.7</v>
      </c>
      <c r="V48" s="4">
        <v>917</v>
      </c>
      <c r="W48" s="72">
        <v>7.229116684841876</v>
      </c>
      <c r="X48" s="4">
        <v>489</v>
      </c>
      <c r="Y48" s="72">
        <v>4.9000000000000004</v>
      </c>
      <c r="Z48" s="4">
        <v>399</v>
      </c>
      <c r="AA48" s="72">
        <v>7.1</v>
      </c>
      <c r="AB48" s="72" t="s">
        <v>144</v>
      </c>
      <c r="AC48" s="4">
        <v>1414</v>
      </c>
      <c r="AD48" s="72">
        <v>7.3</v>
      </c>
      <c r="AE48" s="4">
        <v>763</v>
      </c>
      <c r="AF48" s="72">
        <v>4.8</v>
      </c>
      <c r="AG48" s="4">
        <v>2467</v>
      </c>
      <c r="AH48" s="72">
        <v>5.7</v>
      </c>
      <c r="AJ48" s="72" t="s">
        <v>144</v>
      </c>
      <c r="AK48" s="2">
        <v>152</v>
      </c>
      <c r="AL48" s="18">
        <v>1.4</v>
      </c>
    </row>
    <row r="49" spans="1:38" x14ac:dyDescent="0.25">
      <c r="A49" s="304"/>
      <c r="B49" s="304"/>
      <c r="M49" s="1" t="s">
        <v>145</v>
      </c>
      <c r="N49" s="4">
        <v>48249</v>
      </c>
      <c r="O49" s="72">
        <v>6</v>
      </c>
      <c r="P49" s="4">
        <v>17124</v>
      </c>
      <c r="Q49" s="72">
        <v>5.0999999999999996</v>
      </c>
      <c r="R49" s="4">
        <v>15613</v>
      </c>
      <c r="S49" s="72">
        <v>6.1740728879779665</v>
      </c>
      <c r="T49" s="4">
        <v>1402</v>
      </c>
      <c r="U49" s="72">
        <v>4.5999999999999996</v>
      </c>
      <c r="V49" s="4">
        <v>8848</v>
      </c>
      <c r="W49" s="72">
        <v>7.4594936708860766</v>
      </c>
      <c r="X49" s="4">
        <v>2704</v>
      </c>
      <c r="Y49" s="72">
        <v>5.5</v>
      </c>
      <c r="Z49" s="4">
        <v>2557</v>
      </c>
      <c r="AA49" s="72">
        <v>10</v>
      </c>
      <c r="AB49" s="72" t="s">
        <v>145</v>
      </c>
      <c r="AC49" s="4">
        <v>12506</v>
      </c>
      <c r="AD49" s="72">
        <v>7.4</v>
      </c>
      <c r="AE49" s="4">
        <v>7655</v>
      </c>
      <c r="AF49" s="72">
        <v>7.2</v>
      </c>
      <c r="AG49" s="4">
        <v>16409</v>
      </c>
      <c r="AH49" s="72">
        <v>5.6</v>
      </c>
      <c r="AJ49" s="72" t="s">
        <v>145</v>
      </c>
      <c r="AK49" s="2">
        <v>1206</v>
      </c>
      <c r="AL49" s="18">
        <v>2.4</v>
      </c>
    </row>
    <row r="50" spans="1:38" x14ac:dyDescent="0.25">
      <c r="M50" s="1" t="s">
        <v>146</v>
      </c>
      <c r="N50" s="4">
        <v>188559</v>
      </c>
      <c r="O50" s="72">
        <v>6.9</v>
      </c>
      <c r="P50" s="4">
        <v>72704</v>
      </c>
      <c r="Q50" s="72">
        <v>6.5</v>
      </c>
      <c r="R50" s="4">
        <v>59033</v>
      </c>
      <c r="S50" s="72">
        <v>6.5342317009130495</v>
      </c>
      <c r="T50" s="4">
        <v>7604</v>
      </c>
      <c r="U50" s="72">
        <v>9.5</v>
      </c>
      <c r="V50" s="4">
        <v>32023</v>
      </c>
      <c r="W50" s="72">
        <v>8.0283327608281549</v>
      </c>
      <c r="X50" s="4">
        <v>8224</v>
      </c>
      <c r="Y50" s="72">
        <v>5.8</v>
      </c>
      <c r="Z50" s="4">
        <v>8970</v>
      </c>
      <c r="AA50" s="72">
        <v>8.5</v>
      </c>
      <c r="AB50" s="72" t="s">
        <v>146</v>
      </c>
      <c r="AC50" s="4">
        <v>41821</v>
      </c>
      <c r="AD50" s="72">
        <v>8.6999999999999993</v>
      </c>
      <c r="AE50" s="4">
        <v>30080</v>
      </c>
      <c r="AF50" s="72">
        <v>8.4</v>
      </c>
      <c r="AG50" s="4">
        <v>67494</v>
      </c>
      <c r="AH50" s="72">
        <v>6.9</v>
      </c>
      <c r="AJ50" s="72" t="s">
        <v>146</v>
      </c>
      <c r="AK50" s="2">
        <v>3516</v>
      </c>
      <c r="AL50" s="18">
        <v>2.8</v>
      </c>
    </row>
    <row r="51" spans="1:38" x14ac:dyDescent="0.25">
      <c r="M51" s="1" t="s">
        <v>147</v>
      </c>
      <c r="N51" s="4">
        <v>17597</v>
      </c>
      <c r="O51" s="72">
        <v>7.2</v>
      </c>
      <c r="P51" s="4">
        <v>6915</v>
      </c>
      <c r="Q51" s="72">
        <v>7.3</v>
      </c>
      <c r="R51" s="4">
        <v>5612</v>
      </c>
      <c r="S51" s="72">
        <v>6.9901639344262287</v>
      </c>
      <c r="T51" s="4">
        <v>553</v>
      </c>
      <c r="U51" s="72">
        <v>11.3</v>
      </c>
      <c r="V51" s="4">
        <v>2778</v>
      </c>
      <c r="W51" s="72">
        <v>7.4764938804895609</v>
      </c>
      <c r="X51" s="4">
        <v>676</v>
      </c>
      <c r="Y51" s="72">
        <v>6.2</v>
      </c>
      <c r="Z51" s="4">
        <v>1062</v>
      </c>
      <c r="AA51" s="72">
        <v>7.5</v>
      </c>
      <c r="AB51" s="72" t="s">
        <v>147</v>
      </c>
      <c r="AC51" s="4">
        <v>3028</v>
      </c>
      <c r="AD51" s="72">
        <v>8.9</v>
      </c>
      <c r="AE51" s="4">
        <v>1920</v>
      </c>
      <c r="AF51" s="72">
        <v>6.9</v>
      </c>
      <c r="AG51" s="4">
        <v>8270</v>
      </c>
      <c r="AH51" s="72">
        <v>7.1</v>
      </c>
      <c r="AJ51" s="72" t="s">
        <v>147</v>
      </c>
      <c r="AK51" s="2">
        <v>333</v>
      </c>
      <c r="AL51" s="18">
        <v>3.1</v>
      </c>
    </row>
    <row r="52" spans="1:38" x14ac:dyDescent="0.25">
      <c r="M52" s="1" t="s">
        <v>148</v>
      </c>
      <c r="N52" s="4">
        <v>6389</v>
      </c>
      <c r="O52" s="72">
        <v>7.1</v>
      </c>
      <c r="P52" s="4">
        <v>2928</v>
      </c>
      <c r="Q52" s="72">
        <v>7.7</v>
      </c>
      <c r="R52" s="4">
        <v>1588</v>
      </c>
      <c r="S52" s="72">
        <v>6.1390428211586894</v>
      </c>
      <c r="T52" s="4">
        <v>189</v>
      </c>
      <c r="U52" s="72">
        <v>7.5</v>
      </c>
      <c r="V52" s="4">
        <v>807</v>
      </c>
      <c r="W52" s="72">
        <v>7.3193308550185874</v>
      </c>
      <c r="X52" s="4">
        <v>353</v>
      </c>
      <c r="Y52" s="72">
        <v>4.5999999999999996</v>
      </c>
      <c r="Z52" s="4">
        <v>525</v>
      </c>
      <c r="AA52" s="72">
        <v>8.6</v>
      </c>
      <c r="AB52" s="72" t="s">
        <v>148</v>
      </c>
      <c r="AC52" s="4">
        <v>1180</v>
      </c>
      <c r="AD52" s="72">
        <v>8</v>
      </c>
      <c r="AE52" s="4">
        <v>1390</v>
      </c>
      <c r="AF52" s="72">
        <v>8.6</v>
      </c>
      <c r="AG52" s="4">
        <v>2103</v>
      </c>
      <c r="AH52" s="72">
        <v>5.7</v>
      </c>
      <c r="AJ52" s="72" t="s">
        <v>148</v>
      </c>
      <c r="AK52" s="2">
        <v>128</v>
      </c>
      <c r="AL52" s="18">
        <v>2.2999999999999998</v>
      </c>
    </row>
    <row r="53" spans="1:38" x14ac:dyDescent="0.25">
      <c r="M53" s="1" t="s">
        <v>149</v>
      </c>
      <c r="N53" s="4">
        <v>62847</v>
      </c>
      <c r="O53" s="72">
        <v>6.5</v>
      </c>
      <c r="P53" s="4">
        <v>24222</v>
      </c>
      <c r="Q53" s="72">
        <v>6.1</v>
      </c>
      <c r="R53" s="4">
        <v>20660</v>
      </c>
      <c r="S53" s="72">
        <v>6.1727879961277825</v>
      </c>
      <c r="T53" s="4">
        <v>1268</v>
      </c>
      <c r="U53" s="72">
        <v>7.5</v>
      </c>
      <c r="V53" s="4">
        <v>9562</v>
      </c>
      <c r="W53" s="72">
        <v>7.0708115457017371</v>
      </c>
      <c r="X53" s="4">
        <v>3642</v>
      </c>
      <c r="Y53" s="72">
        <v>6.6</v>
      </c>
      <c r="Z53" s="4">
        <v>3493</v>
      </c>
      <c r="AA53" s="72">
        <v>10.9</v>
      </c>
      <c r="AB53" s="72" t="s">
        <v>149</v>
      </c>
      <c r="AC53" s="4">
        <v>12686</v>
      </c>
      <c r="AD53" s="72">
        <v>7.9</v>
      </c>
      <c r="AE53" s="4">
        <v>6834</v>
      </c>
      <c r="AF53" s="72">
        <v>7.2</v>
      </c>
      <c r="AG53" s="4">
        <v>23068</v>
      </c>
      <c r="AH53" s="72">
        <v>5.7</v>
      </c>
      <c r="AJ53" s="72" t="s">
        <v>149</v>
      </c>
      <c r="AK53" s="2">
        <v>1311</v>
      </c>
      <c r="AL53" s="18">
        <v>2.5</v>
      </c>
    </row>
    <row r="54" spans="1:38" x14ac:dyDescent="0.25">
      <c r="M54" s="1" t="s">
        <v>150</v>
      </c>
      <c r="N54" s="4">
        <v>55819</v>
      </c>
      <c r="O54" s="72">
        <v>6.7</v>
      </c>
      <c r="P54" s="4">
        <v>21797</v>
      </c>
      <c r="Q54" s="72">
        <v>7.1</v>
      </c>
      <c r="R54" s="4">
        <v>20355</v>
      </c>
      <c r="S54" s="72">
        <v>6.402579218865144</v>
      </c>
      <c r="T54" s="4">
        <v>1326</v>
      </c>
      <c r="U54" s="72">
        <v>7.9</v>
      </c>
      <c r="V54" s="4">
        <v>6640</v>
      </c>
      <c r="W54" s="72">
        <v>6.2069277108433738</v>
      </c>
      <c r="X54" s="4">
        <v>3257</v>
      </c>
      <c r="Y54" s="72">
        <v>5.6</v>
      </c>
      <c r="Z54" s="4">
        <v>2444</v>
      </c>
      <c r="AA54" s="72">
        <v>7.6</v>
      </c>
      <c r="AB54" s="72" t="s">
        <v>150</v>
      </c>
      <c r="AC54" s="4">
        <v>10313</v>
      </c>
      <c r="AD54" s="72">
        <v>7.6</v>
      </c>
      <c r="AE54" s="4">
        <v>9005</v>
      </c>
      <c r="AF54" s="72">
        <v>7.6</v>
      </c>
      <c r="AG54" s="4">
        <v>19339</v>
      </c>
      <c r="AH54" s="72">
        <v>6.2</v>
      </c>
      <c r="AJ54" s="72" t="s">
        <v>150</v>
      </c>
      <c r="AK54" s="2">
        <v>1146</v>
      </c>
      <c r="AL54" s="18">
        <v>2.6</v>
      </c>
    </row>
    <row r="55" spans="1:38" x14ac:dyDescent="0.25">
      <c r="M55" s="1" t="s">
        <v>151</v>
      </c>
      <c r="N55" s="4">
        <v>17491</v>
      </c>
      <c r="O55" s="72">
        <v>5.9</v>
      </c>
      <c r="P55" s="4">
        <v>7463</v>
      </c>
      <c r="Q55" s="72">
        <v>5.7</v>
      </c>
      <c r="R55" s="4">
        <v>4328</v>
      </c>
      <c r="S55" s="72">
        <v>5.4246303142329024</v>
      </c>
      <c r="T55" s="4">
        <v>503</v>
      </c>
      <c r="U55" s="72">
        <v>7.9</v>
      </c>
      <c r="V55" s="4">
        <v>2888</v>
      </c>
      <c r="W55" s="72">
        <v>6.6743421052631575</v>
      </c>
      <c r="X55" s="4">
        <v>996</v>
      </c>
      <c r="Y55" s="72">
        <v>4.8</v>
      </c>
      <c r="Z55" s="4">
        <v>1313</v>
      </c>
      <c r="AA55" s="72">
        <v>9</v>
      </c>
      <c r="AB55" s="72" t="s">
        <v>151</v>
      </c>
      <c r="AC55" s="4">
        <v>4221</v>
      </c>
      <c r="AD55" s="72">
        <v>6.7</v>
      </c>
      <c r="AE55" s="4">
        <v>3249</v>
      </c>
      <c r="AF55" s="72">
        <v>7.2</v>
      </c>
      <c r="AG55" s="4">
        <v>4342</v>
      </c>
      <c r="AH55" s="72">
        <v>5.6</v>
      </c>
      <c r="AJ55" s="72" t="s">
        <v>151</v>
      </c>
      <c r="AK55" s="2">
        <v>411</v>
      </c>
      <c r="AL55" s="18">
        <v>1.2</v>
      </c>
    </row>
    <row r="56" spans="1:38" x14ac:dyDescent="0.25">
      <c r="M56" s="1" t="s">
        <v>152</v>
      </c>
      <c r="N56" s="4">
        <v>50109</v>
      </c>
      <c r="O56" s="72">
        <v>6.2</v>
      </c>
      <c r="P56" s="4">
        <v>20165</v>
      </c>
      <c r="Q56" s="72">
        <v>6.4</v>
      </c>
      <c r="R56" s="4">
        <v>16281</v>
      </c>
      <c r="S56" s="72">
        <v>6.1578220011055844</v>
      </c>
      <c r="T56" s="4">
        <v>1325</v>
      </c>
      <c r="U56" s="72">
        <v>7.9</v>
      </c>
      <c r="V56" s="4">
        <v>7068</v>
      </c>
      <c r="W56" s="72">
        <v>7.2355121675155631</v>
      </c>
      <c r="X56" s="4">
        <v>3184</v>
      </c>
      <c r="Y56" s="72">
        <v>4</v>
      </c>
      <c r="Z56" s="4">
        <v>2088</v>
      </c>
      <c r="AA56" s="72">
        <v>4.9000000000000004</v>
      </c>
      <c r="AB56" s="72" t="s">
        <v>152</v>
      </c>
      <c r="AC56" s="4">
        <v>9827</v>
      </c>
      <c r="AD56" s="72">
        <v>7.3</v>
      </c>
      <c r="AE56" s="4">
        <v>7329</v>
      </c>
      <c r="AF56" s="72">
        <v>6.3</v>
      </c>
      <c r="AG56" s="4">
        <v>19747</v>
      </c>
      <c r="AH56" s="72">
        <v>5.2</v>
      </c>
      <c r="AJ56" s="72" t="s">
        <v>152</v>
      </c>
      <c r="AK56" s="2">
        <v>1023</v>
      </c>
      <c r="AL56" s="18">
        <v>1.5</v>
      </c>
    </row>
    <row r="57" spans="1:38" x14ac:dyDescent="0.25">
      <c r="M57" s="1" t="s">
        <v>153</v>
      </c>
      <c r="N57" s="4">
        <v>4856</v>
      </c>
      <c r="O57" s="72">
        <v>7</v>
      </c>
      <c r="P57" s="4">
        <v>2335</v>
      </c>
      <c r="Q57" s="72">
        <v>7.3</v>
      </c>
      <c r="R57" s="4">
        <v>1495</v>
      </c>
      <c r="S57" s="72">
        <v>7.0090301003344493</v>
      </c>
      <c r="T57" s="4">
        <v>45</v>
      </c>
      <c r="U57" s="72">
        <v>6.7</v>
      </c>
      <c r="V57" s="4">
        <v>513</v>
      </c>
      <c r="W57" s="72">
        <v>6.1538011695906434</v>
      </c>
      <c r="X57" s="4">
        <v>225</v>
      </c>
      <c r="Y57" s="72">
        <v>5.5</v>
      </c>
      <c r="Z57" s="4">
        <v>243</v>
      </c>
      <c r="AA57" s="72">
        <v>9.4</v>
      </c>
      <c r="AB57" s="72" t="s">
        <v>153</v>
      </c>
      <c r="AC57" s="4">
        <v>833</v>
      </c>
      <c r="AD57" s="72">
        <v>7.9</v>
      </c>
      <c r="AE57" s="4">
        <v>534</v>
      </c>
      <c r="AF57" s="72">
        <v>7.8</v>
      </c>
      <c r="AG57" s="4">
        <v>1928</v>
      </c>
      <c r="AH57" s="72">
        <v>7.3</v>
      </c>
      <c r="AJ57" s="72" t="s">
        <v>153</v>
      </c>
      <c r="AK57" s="2">
        <v>92</v>
      </c>
      <c r="AL57" s="18">
        <v>2.4</v>
      </c>
    </row>
    <row r="58" spans="1:38" x14ac:dyDescent="0.25">
      <c r="L58"/>
    </row>
    <row r="59" spans="1:38" x14ac:dyDescent="0.25">
      <c r="L59"/>
    </row>
    <row r="60" spans="1:38" x14ac:dyDescent="0.25">
      <c r="L60"/>
    </row>
    <row r="61" spans="1:38" x14ac:dyDescent="0.25">
      <c r="L61"/>
    </row>
    <row r="62" spans="1:38" x14ac:dyDescent="0.25">
      <c r="L62"/>
    </row>
    <row r="63" spans="1:38" x14ac:dyDescent="0.25">
      <c r="L63"/>
    </row>
    <row r="64" spans="1:38" x14ac:dyDescent="0.25">
      <c r="L64"/>
    </row>
    <row r="65" spans="12:12" x14ac:dyDescent="0.25">
      <c r="L65"/>
    </row>
  </sheetData>
  <sheetProtection selectLockedCells="1"/>
  <mergeCells count="23">
    <mergeCell ref="X4:Y4"/>
    <mergeCell ref="A37:D37"/>
    <mergeCell ref="A31:D31"/>
    <mergeCell ref="A32:D32"/>
    <mergeCell ref="A34:D34"/>
    <mergeCell ref="A35:D35"/>
    <mergeCell ref="A36:D36"/>
    <mergeCell ref="Z4:AA4"/>
    <mergeCell ref="AJ4:AL4"/>
    <mergeCell ref="A2:E2"/>
    <mergeCell ref="AB3:AH3"/>
    <mergeCell ref="M4:M5"/>
    <mergeCell ref="AB4:AB5"/>
    <mergeCell ref="AC4:AD4"/>
    <mergeCell ref="B4:D4"/>
    <mergeCell ref="AE4:AF4"/>
    <mergeCell ref="AG4:AH4"/>
    <mergeCell ref="M3:AA3"/>
    <mergeCell ref="N4:O4"/>
    <mergeCell ref="P4:Q4"/>
    <mergeCell ref="R4:S4"/>
    <mergeCell ref="T4:U4"/>
    <mergeCell ref="V4:W4"/>
  </mergeCells>
  <dataValidations count="1">
    <dataValidation type="list" allowBlank="1" showInputMessage="1" showErrorMessage="1" sqref="A1" xr:uid="{E908EF45-DA77-4036-8CEB-DC3198285969}">
      <formula1>$M$6:$M$57</formula1>
    </dataValidation>
  </dataValidations>
  <hyperlinks>
    <hyperlink ref="A32" r:id="rId1" display="https://www.cms.gov/Research-Statistics-Data-and-Systems/Statistics-Trends-and-Reports/NationalHealthExpendData/NationalHealthAccountsProjected.html" xr:uid="{00000000-0004-0000-0100-000000000000}"/>
    <hyperlink ref="A35" r:id="rId2" display="https://www.cms.gov/Research-Statistics-Data-and-Systems/Statistics-Trends-and-Reports/NationalHealthExpendData/NationalHealthAccountsProjected.html" xr:uid="{00000000-0004-0000-0100-000002000000}"/>
  </hyperlinks>
  <pageMargins left="0.7" right="0.7" top="0.75" bottom="0.75" header="0.3" footer="0.3"/>
  <pageSetup orientation="portrait" horizontalDpi="1200" verticalDpi="120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5"/>
  <sheetViews>
    <sheetView workbookViewId="0">
      <selection activeCell="A2" sqref="A2:E2"/>
    </sheetView>
  </sheetViews>
  <sheetFormatPr defaultColWidth="9.140625" defaultRowHeight="12.75" x14ac:dyDescent="0.2"/>
  <cols>
    <col min="1" max="1" width="66.28515625" style="97" customWidth="1"/>
    <col min="2" max="2" width="18.28515625" style="100" customWidth="1"/>
    <col min="3" max="3" width="16" style="95" customWidth="1"/>
    <col min="4" max="4" width="11.28515625" style="95" customWidth="1"/>
    <col min="5" max="5" width="15.85546875" style="96" customWidth="1"/>
    <col min="6" max="16384" width="9.140625" style="97"/>
  </cols>
  <sheetData>
    <row r="1" spans="1:5" ht="18.75" x14ac:dyDescent="0.3">
      <c r="A1" s="128" t="str">
        <f>'I. Current &amp; Projected Spending'!$A$1</f>
        <v>NEW YORK</v>
      </c>
      <c r="B1" s="94"/>
    </row>
    <row r="2" spans="1:5" ht="19.5" customHeight="1" x14ac:dyDescent="0.3">
      <c r="A2" s="323" t="s">
        <v>1</v>
      </c>
      <c r="B2" s="324"/>
      <c r="C2" s="325"/>
      <c r="D2" s="326"/>
      <c r="E2" s="325"/>
    </row>
    <row r="3" spans="1:5" ht="15.75" customHeight="1" x14ac:dyDescent="0.25">
      <c r="A3" s="98"/>
      <c r="B3" s="99"/>
      <c r="C3" s="329" t="str">
        <f>CONCATENATE("Millions of Dollars ($",'I. Current &amp; Projected Spending'!$D$5,")")</f>
        <v>Millions of Dollars ($2021)</v>
      </c>
      <c r="D3" s="330"/>
      <c r="E3" s="331"/>
    </row>
    <row r="4" spans="1:5" ht="78" customHeight="1" x14ac:dyDescent="0.25">
      <c r="C4" s="101" t="s">
        <v>197</v>
      </c>
      <c r="D4" s="102" t="s">
        <v>30</v>
      </c>
      <c r="E4" s="102" t="s">
        <v>1</v>
      </c>
    </row>
    <row r="5" spans="1:5" ht="15.75" customHeight="1" x14ac:dyDescent="0.25">
      <c r="A5" s="103" t="s">
        <v>202</v>
      </c>
      <c r="B5" s="104"/>
      <c r="C5" s="105"/>
      <c r="D5" s="105"/>
      <c r="E5" s="105"/>
    </row>
    <row r="6" spans="1:5" ht="15.75" customHeight="1" x14ac:dyDescent="0.25">
      <c r="A6" s="103" t="s">
        <v>201</v>
      </c>
      <c r="B6" s="107"/>
      <c r="D6" s="105"/>
      <c r="E6" s="97"/>
    </row>
    <row r="7" spans="1:5" ht="15.75" customHeight="1" x14ac:dyDescent="0.25">
      <c r="A7" s="149" t="s">
        <v>203</v>
      </c>
      <c r="B7" s="85">
        <v>0.02</v>
      </c>
      <c r="C7" s="105">
        <f>'I. Current &amp; Projected Spending'!$D$27</f>
        <v>26487.998159496899</v>
      </c>
      <c r="D7" s="109">
        <f>E7/C7</f>
        <v>0.79710654194203245</v>
      </c>
      <c r="E7" s="108">
        <f>C7-B7*('I. Current &amp; Projected Spending'!$D$12-E14-E16-E18+'III. Added Costs &amp; Net Savings'!$E$15)</f>
        <v>21113.756615883492</v>
      </c>
    </row>
    <row r="8" spans="1:5" ht="18" customHeight="1" x14ac:dyDescent="0.25">
      <c r="A8" s="149" t="s">
        <v>218</v>
      </c>
      <c r="B8" s="85">
        <v>0.04</v>
      </c>
      <c r="C8" s="105">
        <f>$B7*'I. Current &amp; Projected Spending'!$D$17</f>
        <v>1760.5017104556528</v>
      </c>
      <c r="D8" s="109">
        <v>1</v>
      </c>
      <c r="E8" s="110">
        <f>D8*C8</f>
        <v>1760.5017104556528</v>
      </c>
    </row>
    <row r="9" spans="1:5" ht="15.75" customHeight="1" x14ac:dyDescent="0.25">
      <c r="A9" s="111"/>
      <c r="B9" s="107"/>
      <c r="C9" s="105"/>
      <c r="D9" s="109"/>
      <c r="E9" s="105"/>
    </row>
    <row r="10" spans="1:5" ht="15.75" customHeight="1" x14ac:dyDescent="0.25">
      <c r="A10" s="112" t="s">
        <v>43</v>
      </c>
      <c r="B10" s="113"/>
      <c r="C10" s="114"/>
      <c r="D10" s="115"/>
      <c r="E10" s="114"/>
    </row>
    <row r="11" spans="1:5" ht="15.75" customHeight="1" x14ac:dyDescent="0.25">
      <c r="A11" s="103" t="s">
        <v>32</v>
      </c>
      <c r="B11" s="107"/>
      <c r="C11" s="105">
        <f>'I. Current &amp; Projected Spending'!D6</f>
        <v>99454.383516297705</v>
      </c>
      <c r="D11" s="85">
        <v>0.1</v>
      </c>
      <c r="E11" s="110">
        <f>D11*C11</f>
        <v>9945.4383516297712</v>
      </c>
    </row>
    <row r="12" spans="1:5" ht="18" customHeight="1" x14ac:dyDescent="0.25">
      <c r="A12" s="103" t="s">
        <v>198</v>
      </c>
      <c r="B12" s="107"/>
      <c r="C12" s="105">
        <f>'I. Current &amp; Projected Spending'!D7</f>
        <v>70571.383402925596</v>
      </c>
      <c r="D12" s="85">
        <v>0.1</v>
      </c>
      <c r="E12" s="110">
        <f>D12*C12</f>
        <v>7057.1383402925603</v>
      </c>
    </row>
    <row r="13" spans="1:5" ht="15.75" customHeight="1" x14ac:dyDescent="0.25">
      <c r="A13" s="103" t="s">
        <v>199</v>
      </c>
      <c r="B13" s="107"/>
      <c r="C13" s="105">
        <f>'I. Current &amp; Projected Spending'!D8</f>
        <v>30425.529100205873</v>
      </c>
      <c r="D13" s="85">
        <v>0.1</v>
      </c>
      <c r="E13" s="110">
        <f>D13*C13</f>
        <v>3042.5529100205877</v>
      </c>
    </row>
    <row r="14" spans="1:5" ht="16.5" customHeight="1" x14ac:dyDescent="0.25">
      <c r="A14" s="116" t="s">
        <v>40</v>
      </c>
      <c r="B14" s="117"/>
      <c r="C14" s="105"/>
      <c r="D14" s="20">
        <f>(C11*D11+C12*D12+C13*D13)/SUM(C11:C13)</f>
        <v>0.10000000000000002</v>
      </c>
      <c r="E14" s="110">
        <f>SUM(E11:E13)</f>
        <v>20045.129601942921</v>
      </c>
    </row>
    <row r="15" spans="1:5" ht="16.5" customHeight="1" x14ac:dyDescent="0.25">
      <c r="A15" s="118"/>
      <c r="B15" s="119"/>
      <c r="C15" s="105"/>
      <c r="D15" s="20"/>
      <c r="E15" s="120"/>
    </row>
    <row r="16" spans="1:5" ht="15.75" customHeight="1" x14ac:dyDescent="0.25">
      <c r="A16" s="103" t="s">
        <v>200</v>
      </c>
      <c r="B16" s="104"/>
      <c r="C16" s="105">
        <f>'I. Current &amp; Projected Spending'!$D$9</f>
        <v>52411.147812270632</v>
      </c>
      <c r="D16" s="86">
        <v>0.33</v>
      </c>
      <c r="E16" s="110">
        <f>D16*C16</f>
        <v>17295.67877804931</v>
      </c>
    </row>
    <row r="17" spans="1:8" ht="15.75" customHeight="1" x14ac:dyDescent="0.25">
      <c r="A17" s="118"/>
      <c r="B17" s="119"/>
      <c r="C17" s="105"/>
      <c r="D17" s="121"/>
      <c r="E17" s="105"/>
    </row>
    <row r="18" spans="1:8" ht="18.75" customHeight="1" x14ac:dyDescent="0.25">
      <c r="A18" s="103" t="s">
        <v>340</v>
      </c>
      <c r="B18" s="104"/>
      <c r="C18" s="105">
        <f>'I. Current &amp; Projected Spending'!$D$12</f>
        <v>278619.54477457324</v>
      </c>
      <c r="D18" s="86">
        <v>0.02</v>
      </c>
      <c r="E18" s="110">
        <f>D18*C18</f>
        <v>5572.390895491465</v>
      </c>
    </row>
    <row r="19" spans="1:8" ht="15.75" customHeight="1" x14ac:dyDescent="0.25">
      <c r="A19" s="118"/>
      <c r="B19" s="119"/>
      <c r="C19" s="105"/>
      <c r="D19" s="109"/>
      <c r="E19" s="114"/>
    </row>
    <row r="20" spans="1:8" ht="15.75" customHeight="1" x14ac:dyDescent="0.25">
      <c r="A20" s="116" t="s">
        <v>3</v>
      </c>
      <c r="B20" s="117"/>
      <c r="C20" s="114"/>
      <c r="D20" s="97"/>
      <c r="E20" s="110">
        <f>E7+E8+E14+E16+E18</f>
        <v>65787.45760182284</v>
      </c>
    </row>
    <row r="21" spans="1:8" ht="15.75" customHeight="1" x14ac:dyDescent="0.25">
      <c r="A21" s="117"/>
      <c r="B21" s="117"/>
      <c r="C21" s="254"/>
      <c r="D21" s="100"/>
      <c r="E21" s="217"/>
    </row>
    <row r="22" spans="1:8" ht="15.75" customHeight="1" x14ac:dyDescent="0.2"/>
    <row r="23" spans="1:8" ht="15.75" customHeight="1" x14ac:dyDescent="0.3">
      <c r="A23" s="122" t="s">
        <v>87</v>
      </c>
      <c r="B23" s="123"/>
      <c r="C23" s="105"/>
      <c r="D23" s="105"/>
      <c r="E23" s="115"/>
      <c r="F23" s="124"/>
      <c r="G23" s="124"/>
      <c r="H23" s="124"/>
    </row>
    <row r="24" spans="1:8" ht="15.75" customHeight="1" x14ac:dyDescent="0.3">
      <c r="A24" s="322" t="s">
        <v>39</v>
      </c>
      <c r="B24" s="322"/>
      <c r="C24" s="327"/>
      <c r="D24" s="327"/>
      <c r="E24" s="327"/>
      <c r="F24" s="124"/>
      <c r="G24" s="124"/>
      <c r="H24" s="124"/>
    </row>
    <row r="25" spans="1:8" ht="35.25" customHeight="1" x14ac:dyDescent="0.3">
      <c r="A25" s="322" t="s">
        <v>38</v>
      </c>
      <c r="B25" s="322"/>
      <c r="C25" s="328"/>
      <c r="D25" s="328"/>
      <c r="E25" s="328"/>
      <c r="F25" s="124"/>
      <c r="G25" s="124"/>
      <c r="H25" s="124"/>
    </row>
    <row r="26" spans="1:8" ht="36" customHeight="1" x14ac:dyDescent="0.3">
      <c r="A26" s="322" t="s">
        <v>33</v>
      </c>
      <c r="B26" s="322"/>
      <c r="C26" s="328"/>
      <c r="D26" s="328"/>
      <c r="E26" s="328"/>
      <c r="F26" s="124"/>
      <c r="G26" s="124"/>
      <c r="H26" s="124"/>
    </row>
    <row r="27" spans="1:8" ht="36" customHeight="1" x14ac:dyDescent="0.3">
      <c r="A27" s="322" t="s">
        <v>34</v>
      </c>
      <c r="B27" s="322"/>
      <c r="C27" s="328"/>
      <c r="D27" s="328"/>
      <c r="E27" s="328"/>
      <c r="F27" s="124"/>
      <c r="G27" s="124"/>
      <c r="H27" s="124"/>
    </row>
    <row r="28" spans="1:8" ht="36" customHeight="1" x14ac:dyDescent="0.3">
      <c r="A28" s="321" t="s">
        <v>231</v>
      </c>
      <c r="B28" s="316"/>
      <c r="C28" s="316"/>
      <c r="D28" s="316"/>
      <c r="E28" s="316"/>
      <c r="F28" s="124"/>
      <c r="G28" s="124"/>
      <c r="H28" s="124"/>
    </row>
    <row r="29" spans="1:8" ht="51.75" customHeight="1" x14ac:dyDescent="0.3">
      <c r="A29" s="322" t="s">
        <v>44</v>
      </c>
      <c r="B29" s="322"/>
      <c r="C29" s="322"/>
      <c r="D29" s="322"/>
      <c r="E29" s="322"/>
      <c r="F29" s="124"/>
      <c r="G29" s="124"/>
      <c r="H29" s="124"/>
    </row>
    <row r="30" spans="1:8" ht="32.25" customHeight="1" x14ac:dyDescent="0.3">
      <c r="A30" s="321" t="s">
        <v>227</v>
      </c>
      <c r="B30" s="321"/>
      <c r="C30" s="322"/>
      <c r="D30" s="322"/>
      <c r="E30" s="322"/>
      <c r="F30" s="124"/>
      <c r="G30" s="124"/>
      <c r="H30" s="124"/>
    </row>
    <row r="31" spans="1:8" ht="51.75" customHeight="1" x14ac:dyDescent="0.3">
      <c r="A31" s="321" t="s">
        <v>85</v>
      </c>
      <c r="B31" s="321"/>
      <c r="C31" s="322"/>
      <c r="D31" s="322"/>
      <c r="E31" s="322"/>
      <c r="F31" s="124"/>
      <c r="G31" s="124"/>
      <c r="H31" s="124"/>
    </row>
    <row r="32" spans="1:8" ht="16.5" x14ac:dyDescent="0.3">
      <c r="A32" s="124"/>
      <c r="B32" s="125"/>
      <c r="C32" s="126"/>
      <c r="D32" s="126"/>
      <c r="E32" s="127"/>
      <c r="F32" s="124"/>
      <c r="G32" s="124"/>
      <c r="H32" s="124"/>
    </row>
    <row r="33" spans="1:8" ht="16.5" x14ac:dyDescent="0.3">
      <c r="B33" s="125"/>
      <c r="C33" s="126"/>
      <c r="D33" s="126"/>
      <c r="E33" s="127"/>
      <c r="F33" s="124"/>
      <c r="G33" s="124"/>
      <c r="H33" s="124"/>
    </row>
    <row r="34" spans="1:8" ht="16.5" x14ac:dyDescent="0.3">
      <c r="A34" s="124"/>
      <c r="B34" s="125"/>
      <c r="C34" s="126"/>
      <c r="D34" s="126"/>
      <c r="E34" s="127"/>
      <c r="F34" s="124"/>
      <c r="G34" s="124"/>
      <c r="H34" s="124"/>
    </row>
    <row r="35" spans="1:8" ht="16.5" x14ac:dyDescent="0.3">
      <c r="A35" s="124"/>
      <c r="B35" s="125"/>
      <c r="C35" s="126"/>
      <c r="D35" s="126"/>
      <c r="E35" s="127"/>
      <c r="F35" s="124"/>
      <c r="G35" s="124"/>
      <c r="H35" s="124"/>
    </row>
  </sheetData>
  <sheetProtection sheet="1" selectLockedCells="1"/>
  <mergeCells count="10">
    <mergeCell ref="A30:E30"/>
    <mergeCell ref="A31:E31"/>
    <mergeCell ref="A2:E2"/>
    <mergeCell ref="A24:E24"/>
    <mergeCell ref="A26:E26"/>
    <mergeCell ref="A28:E28"/>
    <mergeCell ref="A27:E27"/>
    <mergeCell ref="A25:E25"/>
    <mergeCell ref="A29:E29"/>
    <mergeCell ref="C3:E3"/>
  </mergeCells>
  <hyperlinks>
    <hyperlink ref="A31" r:id="rId1" display="http://www.gao.gov/new.items/d11409t.pdf" xr:uid="{00000000-0004-0000-0200-000000000000}"/>
    <hyperlink ref="A30" r:id="rId2" display="http://www.mckinsey.com/mgi/rp/healthcare/accounting_cost_healthcare.asp" xr:uid="{00000000-0004-0000-0200-000001000000}"/>
    <hyperlink ref="A28" r:id="rId3" display="http://www.infoshare.org/main/Economic_Analysis_New_York_Health_Act_-_GFriedman_-_April_2015.pdf" xr:uid="{6F74B67A-8931-4E6E-AAF9-E30DE232C440}"/>
  </hyperlinks>
  <pageMargins left="0.25" right="0.25" top="0.75" bottom="0.75" header="0.3" footer="0.3"/>
  <pageSetup scale="86" fitToHeight="0" orientation="portrait" horizontalDpi="0" verticalDpi="0"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R65"/>
  <sheetViews>
    <sheetView zoomScaleNormal="100" workbookViewId="0">
      <selection activeCell="A2" sqref="A2:E2"/>
    </sheetView>
  </sheetViews>
  <sheetFormatPr defaultColWidth="9.140625" defaultRowHeight="15.75" x14ac:dyDescent="0.25"/>
  <cols>
    <col min="1" max="1" width="64.140625" style="97" customWidth="1"/>
    <col min="2" max="2" width="28.7109375" style="129" customWidth="1"/>
    <col min="3" max="3" width="20.85546875" style="97" customWidth="1"/>
    <col min="4" max="4" width="22" style="96" customWidth="1"/>
    <col min="5" max="6" width="18" style="97" customWidth="1"/>
    <col min="7" max="7" width="9" style="97" customWidth="1"/>
    <col min="8" max="8" width="28.7109375" style="97" bestFit="1" customWidth="1"/>
    <col min="9" max="9" width="21.42578125" style="129" customWidth="1"/>
    <col min="10" max="10" width="20.5703125" style="118" customWidth="1"/>
    <col min="11" max="11" width="8.5703125" customWidth="1"/>
    <col min="12" max="12" width="20.5703125" style="97" customWidth="1"/>
    <col min="13" max="13" width="13.140625" style="97" customWidth="1"/>
    <col min="14" max="14" width="11.5703125" style="97" customWidth="1"/>
    <col min="15" max="15" width="10.140625" style="97" customWidth="1"/>
    <col min="16" max="16" width="10" style="97" customWidth="1"/>
    <col min="17" max="17" width="11.140625" style="97" customWidth="1"/>
    <col min="18" max="16384" width="9.140625" style="97"/>
  </cols>
  <sheetData>
    <row r="1" spans="1:18" ht="18.75" x14ac:dyDescent="0.3">
      <c r="A1" s="210" t="str">
        <f>'I. Current &amp; Projected Spending'!$A$1</f>
        <v>NEW YORK</v>
      </c>
    </row>
    <row r="2" spans="1:18" ht="18.75" x14ac:dyDescent="0.3">
      <c r="A2" s="332" t="s">
        <v>31</v>
      </c>
      <c r="B2" s="333"/>
      <c r="C2" s="333"/>
      <c r="D2" s="333"/>
      <c r="E2" s="331"/>
      <c r="F2" s="132"/>
    </row>
    <row r="3" spans="1:18" x14ac:dyDescent="0.25">
      <c r="A3" s="118"/>
      <c r="B3" s="109"/>
      <c r="C3" s="118"/>
      <c r="D3" s="115"/>
      <c r="E3" s="118"/>
      <c r="F3" s="118"/>
      <c r="H3" s="338" t="s">
        <v>228</v>
      </c>
      <c r="I3" s="339">
        <v>1</v>
      </c>
      <c r="J3" s="340"/>
      <c r="L3" s="335" t="s">
        <v>307</v>
      </c>
      <c r="M3" s="336"/>
      <c r="N3" s="336"/>
      <c r="O3" s="336"/>
      <c r="P3" s="336"/>
      <c r="Q3" s="337"/>
    </row>
    <row r="4" spans="1:18" ht="66.75" customHeight="1" x14ac:dyDescent="0.25">
      <c r="B4" s="249" t="s">
        <v>79</v>
      </c>
      <c r="C4" s="248" t="s">
        <v>80</v>
      </c>
      <c r="D4" s="298" t="str">
        <f>CONCATENATE("Expected Uninsured Rate in ",'I. Current &amp; Projected Spending'!D$5)</f>
        <v>Expected Uninsured Rate in 2021</v>
      </c>
      <c r="E4" s="198" t="str">
        <f>CONCATENATE("Millions of Dollars ($",'I. Current &amp; Projected Spending'!D$5,")")</f>
        <v>Millions of Dollars ($2021)</v>
      </c>
      <c r="F4" s="219"/>
      <c r="H4" s="180"/>
      <c r="I4" s="213" t="s">
        <v>215</v>
      </c>
      <c r="J4" s="214" t="s">
        <v>216</v>
      </c>
      <c r="L4" s="283" t="s">
        <v>249</v>
      </c>
      <c r="M4" s="284" t="s">
        <v>250</v>
      </c>
      <c r="N4" s="284" t="s">
        <v>251</v>
      </c>
      <c r="O4" s="284" t="s">
        <v>252</v>
      </c>
      <c r="P4" s="284" t="s">
        <v>253</v>
      </c>
      <c r="Q4" s="284" t="s">
        <v>254</v>
      </c>
    </row>
    <row r="5" spans="1:18" ht="15.75" customHeight="1" x14ac:dyDescent="0.25">
      <c r="A5" s="116" t="s">
        <v>27</v>
      </c>
      <c r="B5" s="252">
        <v>0.5</v>
      </c>
      <c r="C5" s="200">
        <f>VLOOKUP($A$1,$H$5:$I$56,2,FALSE)</f>
        <v>0.06</v>
      </c>
      <c r="D5" s="246">
        <v>0.04</v>
      </c>
      <c r="E5" s="201">
        <f>B5*D5*('I. Current &amp; Projected Spending'!$D$12-'I. Current &amp; Projected Spending'!$D$10-'I. Current &amp; Projected Spending'!$D$11)</f>
        <v>4990.5363709269259</v>
      </c>
      <c r="F5" s="220"/>
      <c r="H5" s="118" t="s">
        <v>185</v>
      </c>
      <c r="I5" s="109">
        <v>0.09</v>
      </c>
      <c r="J5" s="207">
        <v>340110</v>
      </c>
      <c r="K5" s="291"/>
      <c r="L5" s="285" t="s">
        <v>306</v>
      </c>
      <c r="M5" s="286">
        <v>316000000</v>
      </c>
      <c r="N5" s="286">
        <v>40000000</v>
      </c>
      <c r="O5" s="286">
        <v>37000</v>
      </c>
      <c r="P5" s="287">
        <v>12.51</v>
      </c>
      <c r="Q5" s="288">
        <v>470000</v>
      </c>
      <c r="R5" s="282"/>
    </row>
    <row r="6" spans="1:18" ht="15.75" customHeight="1" x14ac:dyDescent="0.25">
      <c r="A6" s="255"/>
      <c r="D6" s="132"/>
      <c r="E6" s="133"/>
      <c r="F6" s="133"/>
      <c r="H6" s="118" t="s">
        <v>104</v>
      </c>
      <c r="I6" s="109">
        <v>0.11</v>
      </c>
      <c r="J6" s="205">
        <v>4850</v>
      </c>
      <c r="L6" s="285" t="s">
        <v>255</v>
      </c>
      <c r="M6" s="286">
        <v>4830000</v>
      </c>
      <c r="N6" s="286">
        <v>761000</v>
      </c>
      <c r="O6" s="285">
        <v>708</v>
      </c>
      <c r="P6" s="287">
        <v>10.89</v>
      </c>
      <c r="Q6" s="288">
        <v>7720</v>
      </c>
      <c r="R6" s="282"/>
    </row>
    <row r="7" spans="1:18" ht="15.75" customHeight="1" x14ac:dyDescent="0.25">
      <c r="A7" s="255"/>
      <c r="B7" s="134"/>
      <c r="D7" s="132"/>
      <c r="H7" s="118" t="s">
        <v>105</v>
      </c>
      <c r="I7" s="109">
        <v>0.13</v>
      </c>
      <c r="J7" s="205">
        <v>70</v>
      </c>
      <c r="L7" s="285" t="s">
        <v>256</v>
      </c>
      <c r="M7" s="286">
        <v>735000</v>
      </c>
      <c r="N7" s="286">
        <v>84900</v>
      </c>
      <c r="O7" s="285">
        <v>79</v>
      </c>
      <c r="P7" s="287">
        <v>15.05</v>
      </c>
      <c r="Q7" s="288">
        <v>1190</v>
      </c>
      <c r="R7" s="282"/>
    </row>
    <row r="8" spans="1:18" ht="17.25" customHeight="1" x14ac:dyDescent="0.3">
      <c r="A8" s="256" t="s">
        <v>233</v>
      </c>
      <c r="B8" s="253">
        <v>0.05</v>
      </c>
      <c r="D8" s="135"/>
      <c r="E8" s="110">
        <f>$B$8*('I. Current &amp; Projected Spending'!$D$12-'I. Current &amp; Projected Spending'!$D$10-'I. Current &amp; Projected Spending'!$D$11)</f>
        <v>12476.340927317315</v>
      </c>
      <c r="F8" s="217"/>
      <c r="H8" s="118" t="s">
        <v>106</v>
      </c>
      <c r="I8" s="109">
        <v>0.13</v>
      </c>
      <c r="J8" s="205">
        <v>3020</v>
      </c>
      <c r="L8" s="285" t="s">
        <v>257</v>
      </c>
      <c r="M8" s="286">
        <v>6630000</v>
      </c>
      <c r="N8" s="286">
        <v>804000</v>
      </c>
      <c r="O8" s="285">
        <v>749</v>
      </c>
      <c r="P8" s="287">
        <v>12.6</v>
      </c>
      <c r="Q8" s="288">
        <v>9430</v>
      </c>
      <c r="R8" s="282"/>
    </row>
    <row r="9" spans="1:18" ht="17.25" customHeight="1" x14ac:dyDescent="0.3">
      <c r="A9" s="117"/>
      <c r="B9" s="215"/>
      <c r="C9" s="100"/>
      <c r="D9" s="216"/>
      <c r="E9" s="217"/>
      <c r="F9" s="217"/>
      <c r="H9" s="118" t="s">
        <v>107</v>
      </c>
      <c r="I9" s="109">
        <v>0.09</v>
      </c>
      <c r="J9" s="205">
        <v>2830</v>
      </c>
      <c r="L9" s="285" t="s">
        <v>258</v>
      </c>
      <c r="M9" s="286">
        <v>2960000</v>
      </c>
      <c r="N9" s="286">
        <v>452000</v>
      </c>
      <c r="O9" s="285">
        <v>421</v>
      </c>
      <c r="P9" s="287">
        <v>11.2</v>
      </c>
      <c r="Q9" s="288">
        <v>4710</v>
      </c>
      <c r="R9" s="282"/>
    </row>
    <row r="10" spans="1:18" ht="39" customHeight="1" x14ac:dyDescent="0.3">
      <c r="A10" s="296" t="s">
        <v>338</v>
      </c>
      <c r="B10" s="297"/>
      <c r="D10" s="135"/>
      <c r="E10" s="108">
        <f>IF($I$62=1,(0.25*'I. Current &amp; Projected Spending'!D15+0.44*'I. Current &amp; Projected Spending'!D16)*'I. Current &amp; Projected Spending'!D7/'I. Current &amp; Projected Spending'!D20*(1-'II. Savings'!D12)*(1+B8),0)</f>
        <v>11470.854383336533</v>
      </c>
      <c r="F10" s="217"/>
      <c r="H10" s="118" t="s">
        <v>108</v>
      </c>
      <c r="I10" s="109">
        <v>0.08</v>
      </c>
      <c r="J10" s="205">
        <v>31340</v>
      </c>
      <c r="L10" s="285" t="s">
        <v>259</v>
      </c>
      <c r="M10" s="286">
        <v>38300000</v>
      </c>
      <c r="N10" s="286">
        <v>4450000</v>
      </c>
      <c r="O10" s="286">
        <v>4140</v>
      </c>
      <c r="P10" s="287">
        <v>13.94</v>
      </c>
      <c r="Q10" s="288">
        <v>57700</v>
      </c>
      <c r="R10" s="282"/>
    </row>
    <row r="11" spans="1:18" ht="19.5" customHeight="1" x14ac:dyDescent="0.25">
      <c r="B11" s="97"/>
      <c r="D11" s="97"/>
      <c r="F11" s="100"/>
      <c r="H11" s="118" t="s">
        <v>109</v>
      </c>
      <c r="I11" s="109">
        <v>0.09</v>
      </c>
      <c r="J11" s="205">
        <v>4300</v>
      </c>
      <c r="L11" s="285" t="s">
        <v>260</v>
      </c>
      <c r="M11" s="286">
        <v>5270000</v>
      </c>
      <c r="N11" s="286">
        <v>584000</v>
      </c>
      <c r="O11" s="285">
        <v>543</v>
      </c>
      <c r="P11" s="287">
        <v>13.68</v>
      </c>
      <c r="Q11" s="288">
        <v>7430</v>
      </c>
      <c r="R11" s="282"/>
    </row>
    <row r="12" spans="1:18" ht="19.5" customHeight="1" x14ac:dyDescent="0.25">
      <c r="A12" s="255"/>
      <c r="B12" s="130" t="s">
        <v>247</v>
      </c>
      <c r="C12" s="170" t="s">
        <v>217</v>
      </c>
      <c r="F12" s="100"/>
      <c r="H12" s="118" t="s">
        <v>110</v>
      </c>
      <c r="I12" s="109">
        <v>0.06</v>
      </c>
      <c r="J12" s="205">
        <v>6300</v>
      </c>
      <c r="L12" s="285" t="s">
        <v>261</v>
      </c>
      <c r="M12" s="286">
        <v>3600000</v>
      </c>
      <c r="N12" s="286">
        <v>459000</v>
      </c>
      <c r="O12" s="285">
        <v>427</v>
      </c>
      <c r="P12" s="287">
        <v>13.87</v>
      </c>
      <c r="Q12" s="288">
        <v>5930</v>
      </c>
      <c r="R12" s="282"/>
    </row>
    <row r="13" spans="1:18" ht="15.75" customHeight="1" x14ac:dyDescent="0.3">
      <c r="A13" s="116" t="s">
        <v>45</v>
      </c>
      <c r="B13" s="206">
        <f>10*IF(VLOOKUP($A$1,$H$5:$J$56,3,FALSE)="N/A","N/A",VLOOKUP($A$1,$H$5:$J$56,3,FALSE))</f>
        <v>271200</v>
      </c>
      <c r="C13" s="245">
        <v>15000</v>
      </c>
      <c r="E13" s="110">
        <f>C13*B13/1000000</f>
        <v>4068</v>
      </c>
      <c r="F13" s="100"/>
      <c r="H13" s="118" t="s">
        <v>111</v>
      </c>
      <c r="I13" s="109">
        <v>7.0000000000000007E-2</v>
      </c>
      <c r="J13" s="118">
        <f>M13*J$5/M$5</f>
        <v>996.65145569620256</v>
      </c>
      <c r="L13" s="285" t="s">
        <v>262</v>
      </c>
      <c r="M13" s="286">
        <v>926000</v>
      </c>
      <c r="N13" s="286">
        <v>123000</v>
      </c>
      <c r="O13" s="285">
        <v>114</v>
      </c>
      <c r="P13" s="287">
        <v>13.86</v>
      </c>
      <c r="Q13" s="288">
        <v>1580</v>
      </c>
      <c r="R13" s="282"/>
    </row>
    <row r="14" spans="1:18" ht="15.75" customHeight="1" x14ac:dyDescent="0.25">
      <c r="A14" s="136"/>
      <c r="B14" s="118"/>
      <c r="F14" s="100"/>
      <c r="H14" s="118" t="s">
        <v>112</v>
      </c>
      <c r="I14" s="109">
        <v>0.04</v>
      </c>
      <c r="J14" s="118">
        <f>M14*J$5/M$5</f>
        <v>695.28816455696199</v>
      </c>
      <c r="L14" s="285" t="s">
        <v>263</v>
      </c>
      <c r="M14" s="286">
        <v>646000</v>
      </c>
      <c r="N14" s="286">
        <v>75200</v>
      </c>
      <c r="O14" s="285">
        <v>70</v>
      </c>
      <c r="P14" s="287">
        <v>12.44</v>
      </c>
      <c r="Q14" s="288">
        <v>870</v>
      </c>
      <c r="R14" s="282"/>
    </row>
    <row r="15" spans="1:18" ht="15.75" customHeight="1" x14ac:dyDescent="0.25">
      <c r="A15" s="116" t="s">
        <v>28</v>
      </c>
      <c r="B15" s="137"/>
      <c r="E15" s="110">
        <f>E5+E8+E10+E13</f>
        <v>33005.731681580772</v>
      </c>
      <c r="F15" s="217"/>
      <c r="H15" s="118" t="s">
        <v>113</v>
      </c>
      <c r="I15" s="109">
        <v>0.13</v>
      </c>
      <c r="J15" s="205">
        <v>23320</v>
      </c>
      <c r="L15" s="285" t="s">
        <v>264</v>
      </c>
      <c r="M15" s="286">
        <v>19600000</v>
      </c>
      <c r="N15" s="286">
        <v>2670000</v>
      </c>
      <c r="O15" s="286">
        <v>2490</v>
      </c>
      <c r="P15" s="287">
        <v>11.93</v>
      </c>
      <c r="Q15" s="288">
        <v>29700</v>
      </c>
      <c r="R15" s="282"/>
    </row>
    <row r="16" spans="1:18" ht="15.75" customHeight="1" x14ac:dyDescent="0.25">
      <c r="F16" s="100"/>
      <c r="H16" s="118" t="s">
        <v>114</v>
      </c>
      <c r="I16" s="109">
        <v>0.14000000000000001</v>
      </c>
      <c r="J16" s="205">
        <v>3030</v>
      </c>
      <c r="L16" s="285" t="s">
        <v>265</v>
      </c>
      <c r="M16" s="286">
        <v>9990000</v>
      </c>
      <c r="N16" s="286">
        <v>1330000</v>
      </c>
      <c r="O16" s="286">
        <v>1240</v>
      </c>
      <c r="P16" s="287">
        <v>11.29</v>
      </c>
      <c r="Q16" s="288">
        <v>14000</v>
      </c>
      <c r="R16" s="282"/>
    </row>
    <row r="17" spans="1:18" x14ac:dyDescent="0.25">
      <c r="B17" s="203"/>
      <c r="C17" s="204"/>
      <c r="D17" s="240" t="str">
        <f>CONCATENATE("Projected Total Spending incl Savings and Additional Costs ($",'I. Current &amp; Projected Spending'!$D$5,")")</f>
        <v>Projected Total Spending incl Savings and Additional Costs ($2021)</v>
      </c>
      <c r="E17" s="201">
        <f>'I. Current &amp; Projected Spending'!$D$12-'II. Savings'!$E$20+E15</f>
        <v>245837.81885433116</v>
      </c>
      <c r="F17" s="217"/>
      <c r="H17" s="118" t="s">
        <v>115</v>
      </c>
      <c r="I17" s="109">
        <v>0.05</v>
      </c>
      <c r="J17" s="205">
        <v>2550</v>
      </c>
      <c r="L17" s="285" t="s">
        <v>266</v>
      </c>
      <c r="M17" s="286">
        <v>1400000</v>
      </c>
      <c r="N17" s="286">
        <v>154000</v>
      </c>
      <c r="O17" s="285">
        <v>144</v>
      </c>
      <c r="P17" s="287">
        <v>14.59</v>
      </c>
      <c r="Q17" s="288">
        <v>2100</v>
      </c>
      <c r="R17" s="282"/>
    </row>
    <row r="18" spans="1:18" x14ac:dyDescent="0.25">
      <c r="A18" s="100"/>
      <c r="B18" s="140"/>
      <c r="C18" s="139"/>
      <c r="D18" s="117"/>
      <c r="E18" s="244"/>
      <c r="F18" s="100"/>
      <c r="H18" s="118" t="s">
        <v>116</v>
      </c>
      <c r="I18" s="109">
        <v>0.11</v>
      </c>
      <c r="J18" s="205">
        <v>1760</v>
      </c>
      <c r="L18" s="285" t="s">
        <v>267</v>
      </c>
      <c r="M18" s="286">
        <v>1610000</v>
      </c>
      <c r="N18" s="286">
        <v>196000</v>
      </c>
      <c r="O18" s="285">
        <v>183</v>
      </c>
      <c r="P18" s="287">
        <v>12.06</v>
      </c>
      <c r="Q18" s="288">
        <v>2210</v>
      </c>
      <c r="R18" s="282"/>
    </row>
    <row r="19" spans="1:18" ht="18" customHeight="1" x14ac:dyDescent="0.3">
      <c r="B19" s="138"/>
      <c r="C19" s="139"/>
      <c r="D19" s="240" t="str">
        <f>CONCATENATE("Net Savings ($",'I. Current &amp; Projected Spending'!$D$5,")")</f>
        <v>Net Savings ($2021)</v>
      </c>
      <c r="E19" s="225">
        <f>'I. Current &amp; Projected Spending'!$D$12-E17</f>
        <v>32781.725920242083</v>
      </c>
      <c r="F19" s="220"/>
      <c r="H19" s="118" t="s">
        <v>117</v>
      </c>
      <c r="I19" s="109">
        <v>0.06</v>
      </c>
      <c r="J19" s="205">
        <v>12840</v>
      </c>
      <c r="L19" s="285" t="s">
        <v>268</v>
      </c>
      <c r="M19" s="286">
        <v>12900000</v>
      </c>
      <c r="N19" s="286">
        <v>1560000</v>
      </c>
      <c r="O19" s="286">
        <v>1450</v>
      </c>
      <c r="P19" s="287">
        <v>12.77</v>
      </c>
      <c r="Q19" s="288">
        <v>18500</v>
      </c>
      <c r="R19" s="282"/>
    </row>
    <row r="20" spans="1:18" ht="18" customHeight="1" x14ac:dyDescent="0.3">
      <c r="B20" s="140"/>
      <c r="C20" s="107"/>
      <c r="D20" s="202" t="s">
        <v>29</v>
      </c>
      <c r="E20" s="226">
        <f>E19/'I. Current &amp; Projected Spending'!$D$12</f>
        <v>0.1176576680819907</v>
      </c>
      <c r="F20" s="220"/>
      <c r="H20" s="118" t="s">
        <v>118</v>
      </c>
      <c r="I20" s="109">
        <v>0.09</v>
      </c>
      <c r="J20" s="205">
        <v>5900</v>
      </c>
      <c r="L20" s="285" t="s">
        <v>269</v>
      </c>
      <c r="M20" s="286">
        <v>6570000</v>
      </c>
      <c r="N20" s="286">
        <v>837000</v>
      </c>
      <c r="O20" s="285">
        <v>779</v>
      </c>
      <c r="P20" s="287">
        <v>12.17</v>
      </c>
      <c r="Q20" s="288">
        <v>9480</v>
      </c>
      <c r="R20" s="282"/>
    </row>
    <row r="21" spans="1:18" ht="22.5" customHeight="1" x14ac:dyDescent="0.25">
      <c r="A21" s="141"/>
      <c r="B21" s="142"/>
      <c r="C21" s="118"/>
      <c r="D21" s="115"/>
      <c r="E21" s="118"/>
      <c r="F21" s="217"/>
      <c r="H21" s="118" t="s">
        <v>119</v>
      </c>
      <c r="I21" s="109">
        <v>0.05</v>
      </c>
      <c r="J21" s="205">
        <v>2540</v>
      </c>
      <c r="L21" s="285" t="s">
        <v>270</v>
      </c>
      <c r="M21" s="286">
        <v>3090000</v>
      </c>
      <c r="N21" s="286">
        <v>317000</v>
      </c>
      <c r="O21" s="285">
        <v>295</v>
      </c>
      <c r="P21" s="287">
        <v>13.08</v>
      </c>
      <c r="Q21" s="288">
        <v>3860</v>
      </c>
      <c r="R21" s="282"/>
    </row>
    <row r="22" spans="1:18" ht="21.75" customHeight="1" x14ac:dyDescent="0.3">
      <c r="A22" s="266" t="s">
        <v>309</v>
      </c>
      <c r="B22" s="262"/>
      <c r="C22" s="239"/>
      <c r="F22" s="138"/>
      <c r="H22" s="118" t="s">
        <v>120</v>
      </c>
      <c r="I22" s="109">
        <v>0.1</v>
      </c>
      <c r="J22" s="205">
        <v>2320</v>
      </c>
      <c r="L22" s="285" t="s">
        <v>271</v>
      </c>
      <c r="M22" s="286">
        <v>2890000</v>
      </c>
      <c r="N22" s="286">
        <v>345000</v>
      </c>
      <c r="O22" s="285">
        <v>321</v>
      </c>
      <c r="P22" s="287">
        <v>12.01</v>
      </c>
      <c r="Q22" s="288">
        <v>3850</v>
      </c>
      <c r="R22" s="282"/>
    </row>
    <row r="23" spans="1:18" ht="18.75" x14ac:dyDescent="0.3">
      <c r="A23" s="240" t="str">
        <f>IF($I$63=1,"Percentage of Unpaid Personal Care Converted to Paid Care","")</f>
        <v>Percentage of Unpaid Personal Care Converted to Paid Care</v>
      </c>
      <c r="B23" s="251">
        <v>0.5</v>
      </c>
      <c r="C23" s="265"/>
      <c r="D23" s="264" t="str">
        <f>IF($I$63=1,"Long-term Care Cost","")</f>
        <v>Long-term Care Cost</v>
      </c>
      <c r="E23" s="178">
        <f>IF($I$63=1,B23*(1+'IV(A). Financing by Income Tax'!$B$20)^('I. Current &amp; Projected Spending'!$D$5-2013)*VLOOKUP($A$1,$L$5:$Q$56,6,FALSE),"")</f>
        <v>22255.874590892898</v>
      </c>
      <c r="F23" s="118"/>
      <c r="H23" s="118" t="s">
        <v>121</v>
      </c>
      <c r="I23" s="109">
        <v>0.06</v>
      </c>
      <c r="J23" s="205">
        <v>13960</v>
      </c>
      <c r="L23" s="285" t="s">
        <v>272</v>
      </c>
      <c r="M23" s="286">
        <v>4400000</v>
      </c>
      <c r="N23" s="286">
        <v>648000</v>
      </c>
      <c r="O23" s="285">
        <v>603</v>
      </c>
      <c r="P23" s="287">
        <v>11.57</v>
      </c>
      <c r="Q23" s="288">
        <v>6980</v>
      </c>
      <c r="R23" s="282"/>
    </row>
    <row r="24" spans="1:18" ht="18.75" x14ac:dyDescent="0.25">
      <c r="A24" s="141"/>
      <c r="B24" s="142"/>
      <c r="C24" s="118"/>
      <c r="D24" s="115"/>
      <c r="E24" s="118"/>
      <c r="F24" s="118"/>
      <c r="H24" s="118" t="s">
        <v>122</v>
      </c>
      <c r="I24" s="109">
        <v>0.11</v>
      </c>
      <c r="J24" s="205">
        <v>880</v>
      </c>
      <c r="L24" s="285" t="s">
        <v>273</v>
      </c>
      <c r="M24" s="286">
        <v>4630000</v>
      </c>
      <c r="N24" s="286">
        <v>660000</v>
      </c>
      <c r="O24" s="285">
        <v>615</v>
      </c>
      <c r="P24" s="287">
        <v>10.53</v>
      </c>
      <c r="Q24" s="288">
        <v>6470</v>
      </c>
      <c r="R24" s="282"/>
    </row>
    <row r="25" spans="1:18" x14ac:dyDescent="0.25">
      <c r="B25" s="97"/>
      <c r="D25" s="97"/>
      <c r="F25" s="118"/>
      <c r="H25" s="118" t="s">
        <v>63</v>
      </c>
      <c r="I25" s="109">
        <v>0.05</v>
      </c>
      <c r="J25" s="205">
        <v>1460</v>
      </c>
      <c r="L25" s="285" t="s">
        <v>274</v>
      </c>
      <c r="M25" s="286">
        <v>1330000</v>
      </c>
      <c r="N25" s="286">
        <v>178000</v>
      </c>
      <c r="O25" s="285">
        <v>165</v>
      </c>
      <c r="P25" s="287">
        <v>13.41</v>
      </c>
      <c r="Q25" s="288">
        <v>2220</v>
      </c>
      <c r="R25" s="282"/>
    </row>
    <row r="26" spans="1:18" x14ac:dyDescent="0.25">
      <c r="B26" s="97"/>
      <c r="D26" s="97"/>
      <c r="F26" s="118"/>
      <c r="H26" s="118" t="s">
        <v>123</v>
      </c>
      <c r="I26" s="109">
        <v>7.0000000000000007E-2</v>
      </c>
      <c r="J26" s="205">
        <v>6060</v>
      </c>
      <c r="L26" s="285" t="s">
        <v>275</v>
      </c>
      <c r="M26" s="286">
        <v>5930000</v>
      </c>
      <c r="N26" s="286">
        <v>771000</v>
      </c>
      <c r="O26" s="285">
        <v>717</v>
      </c>
      <c r="P26" s="287">
        <v>13.09</v>
      </c>
      <c r="Q26" s="288">
        <v>9390</v>
      </c>
      <c r="R26" s="282"/>
    </row>
    <row r="27" spans="1:18" x14ac:dyDescent="0.25">
      <c r="A27" s="122" t="s">
        <v>87</v>
      </c>
      <c r="B27" s="109"/>
      <c r="C27" s="118"/>
      <c r="D27" s="115"/>
      <c r="E27" s="118"/>
      <c r="F27" s="118"/>
      <c r="H27" s="118" t="s">
        <v>124</v>
      </c>
      <c r="I27" s="109">
        <v>0.04</v>
      </c>
      <c r="J27" s="205">
        <v>12200</v>
      </c>
      <c r="L27" s="285" t="s">
        <v>276</v>
      </c>
      <c r="M27" s="286">
        <v>6690000</v>
      </c>
      <c r="N27" s="286">
        <v>844000</v>
      </c>
      <c r="O27" s="285">
        <v>786</v>
      </c>
      <c r="P27" s="287">
        <v>14.75</v>
      </c>
      <c r="Q27" s="288">
        <v>11600</v>
      </c>
      <c r="R27" s="282"/>
    </row>
    <row r="28" spans="1:18" x14ac:dyDescent="0.25">
      <c r="A28" s="322" t="s">
        <v>81</v>
      </c>
      <c r="B28" s="334"/>
      <c r="C28" s="334"/>
      <c r="D28" s="334"/>
      <c r="E28" s="334"/>
      <c r="F28" s="212"/>
      <c r="H28" s="118" t="s">
        <v>125</v>
      </c>
      <c r="I28" s="109">
        <v>0.06</v>
      </c>
      <c r="J28" s="205">
        <v>7070</v>
      </c>
      <c r="L28" s="285" t="s">
        <v>277</v>
      </c>
      <c r="M28" s="286">
        <v>9900000</v>
      </c>
      <c r="N28" s="286">
        <v>1280000</v>
      </c>
      <c r="O28" s="286">
        <v>1190</v>
      </c>
      <c r="P28" s="287">
        <v>12.21</v>
      </c>
      <c r="Q28" s="288">
        <v>14500</v>
      </c>
      <c r="R28" s="282"/>
    </row>
    <row r="29" spans="1:18" ht="36" customHeight="1" x14ac:dyDescent="0.25">
      <c r="A29" s="321" t="s">
        <v>82</v>
      </c>
      <c r="B29" s="322"/>
      <c r="C29" s="322"/>
      <c r="D29" s="322"/>
      <c r="E29" s="322"/>
      <c r="F29" s="211"/>
      <c r="H29" s="118" t="s">
        <v>126</v>
      </c>
      <c r="I29" s="109">
        <v>0.06</v>
      </c>
      <c r="J29" s="205">
        <v>19390</v>
      </c>
      <c r="L29" s="285" t="s">
        <v>278</v>
      </c>
      <c r="M29" s="286">
        <v>5420000</v>
      </c>
      <c r="N29" s="286">
        <v>585000</v>
      </c>
      <c r="O29" s="285">
        <v>544</v>
      </c>
      <c r="P29" s="287">
        <v>14.45</v>
      </c>
      <c r="Q29" s="288">
        <v>7860</v>
      </c>
      <c r="R29" s="282"/>
    </row>
    <row r="30" spans="1:18" ht="36" customHeight="1" x14ac:dyDescent="0.25">
      <c r="A30" s="321" t="s">
        <v>83</v>
      </c>
      <c r="B30" s="322"/>
      <c r="C30" s="322"/>
      <c r="D30" s="322"/>
      <c r="E30" s="322"/>
      <c r="F30" s="211"/>
      <c r="H30" s="118" t="s">
        <v>127</v>
      </c>
      <c r="I30" s="109">
        <v>0.13</v>
      </c>
      <c r="J30" s="118">
        <f>M30*J$5/M$5</f>
        <v>3218.1294303797467</v>
      </c>
      <c r="L30" s="285" t="s">
        <v>279</v>
      </c>
      <c r="M30" s="286">
        <v>2990000</v>
      </c>
      <c r="N30" s="286">
        <v>501000</v>
      </c>
      <c r="O30" s="285">
        <v>467</v>
      </c>
      <c r="P30" s="287">
        <v>11.53</v>
      </c>
      <c r="Q30" s="288">
        <v>5380</v>
      </c>
      <c r="R30" s="282"/>
    </row>
    <row r="31" spans="1:18" ht="64.5" customHeight="1" x14ac:dyDescent="0.25">
      <c r="A31" s="321" t="s">
        <v>234</v>
      </c>
      <c r="B31" s="316"/>
      <c r="C31" s="316"/>
      <c r="D31" s="316"/>
      <c r="E31" s="316"/>
      <c r="F31" s="211"/>
      <c r="H31" s="118" t="s">
        <v>128</v>
      </c>
      <c r="I31" s="109">
        <v>0.09</v>
      </c>
      <c r="J31" s="205">
        <v>6050</v>
      </c>
      <c r="L31" s="285" t="s">
        <v>280</v>
      </c>
      <c r="M31" s="286">
        <v>6040000</v>
      </c>
      <c r="N31" s="286">
        <v>792000</v>
      </c>
      <c r="O31" s="285">
        <v>737</v>
      </c>
      <c r="P31" s="287">
        <v>11.52</v>
      </c>
      <c r="Q31" s="288">
        <v>8490</v>
      </c>
      <c r="R31" s="282"/>
    </row>
    <row r="32" spans="1:18" ht="66.75" customHeight="1" x14ac:dyDescent="0.25">
      <c r="A32" s="321" t="s">
        <v>310</v>
      </c>
      <c r="B32" s="316"/>
      <c r="C32" s="316"/>
      <c r="D32" s="316"/>
      <c r="E32" s="316"/>
      <c r="H32" s="118" t="s">
        <v>129</v>
      </c>
      <c r="I32" s="109">
        <v>0.1</v>
      </c>
      <c r="J32" s="205">
        <v>640</v>
      </c>
      <c r="L32" s="285" t="s">
        <v>281</v>
      </c>
      <c r="M32" s="286">
        <v>1020000</v>
      </c>
      <c r="N32" s="286">
        <v>118000</v>
      </c>
      <c r="O32" s="285">
        <v>110</v>
      </c>
      <c r="P32" s="287">
        <v>12.97</v>
      </c>
      <c r="Q32" s="288">
        <v>1430</v>
      </c>
      <c r="R32" s="282"/>
    </row>
    <row r="33" spans="1:18" ht="47.25" customHeight="1" x14ac:dyDescent="0.25">
      <c r="A33" s="321" t="s">
        <v>248</v>
      </c>
      <c r="B33" s="322"/>
      <c r="C33" s="322"/>
      <c r="D33" s="322"/>
      <c r="E33" s="322"/>
      <c r="F33" s="118"/>
      <c r="H33" s="118" t="s">
        <v>130</v>
      </c>
      <c r="I33" s="109">
        <v>0.08</v>
      </c>
      <c r="J33" s="205">
        <v>5590</v>
      </c>
      <c r="L33" s="285" t="s">
        <v>282</v>
      </c>
      <c r="M33" s="286">
        <v>1870000</v>
      </c>
      <c r="N33" s="286">
        <v>195000</v>
      </c>
      <c r="O33" s="285">
        <v>182</v>
      </c>
      <c r="P33" s="287">
        <v>13.81</v>
      </c>
      <c r="Q33" s="288">
        <v>2510</v>
      </c>
      <c r="R33" s="282"/>
    </row>
    <row r="34" spans="1:18" x14ac:dyDescent="0.25">
      <c r="A34" s="143"/>
      <c r="B34" s="109"/>
      <c r="C34" s="118"/>
      <c r="D34" s="115"/>
      <c r="E34" s="118"/>
      <c r="F34" s="118"/>
      <c r="H34" s="118" t="s">
        <v>131</v>
      </c>
      <c r="I34" s="109">
        <v>0.11</v>
      </c>
      <c r="J34" s="205">
        <v>2230</v>
      </c>
      <c r="L34" s="285" t="s">
        <v>283</v>
      </c>
      <c r="M34" s="286">
        <v>2790000</v>
      </c>
      <c r="N34" s="286">
        <v>348000</v>
      </c>
      <c r="O34" s="285">
        <v>324</v>
      </c>
      <c r="P34" s="287">
        <v>13.19</v>
      </c>
      <c r="Q34" s="288">
        <v>4270</v>
      </c>
      <c r="R34" s="282"/>
    </row>
    <row r="35" spans="1:18" x14ac:dyDescent="0.25">
      <c r="B35" s="97"/>
      <c r="D35" s="97"/>
      <c r="F35" s="118"/>
      <c r="H35" s="118" t="s">
        <v>132</v>
      </c>
      <c r="I35" s="109">
        <v>0.05</v>
      </c>
      <c r="J35" s="205">
        <v>1880</v>
      </c>
      <c r="L35" s="285" t="s">
        <v>284</v>
      </c>
      <c r="M35" s="286">
        <v>1320000</v>
      </c>
      <c r="N35" s="286">
        <v>173000</v>
      </c>
      <c r="O35" s="285">
        <v>161</v>
      </c>
      <c r="P35" s="287">
        <v>14.42</v>
      </c>
      <c r="Q35" s="288">
        <v>2330</v>
      </c>
      <c r="R35" s="282"/>
    </row>
    <row r="36" spans="1:18" x14ac:dyDescent="0.25">
      <c r="A36" s="118"/>
      <c r="B36" s="109"/>
      <c r="C36" s="118"/>
      <c r="D36" s="115"/>
      <c r="E36" s="118"/>
      <c r="F36" s="118"/>
      <c r="H36" s="118" t="s">
        <v>133</v>
      </c>
      <c r="I36" s="109">
        <v>0.08</v>
      </c>
      <c r="J36" s="205">
        <v>8230</v>
      </c>
      <c r="L36" s="285" t="s">
        <v>285</v>
      </c>
      <c r="M36" s="286">
        <v>8900000</v>
      </c>
      <c r="N36" s="286">
        <v>1120000</v>
      </c>
      <c r="O36" s="286">
        <v>1040</v>
      </c>
      <c r="P36" s="287">
        <v>13.07</v>
      </c>
      <c r="Q36" s="288">
        <v>13600</v>
      </c>
      <c r="R36" s="282"/>
    </row>
    <row r="37" spans="1:18" x14ac:dyDescent="0.25">
      <c r="A37" s="118"/>
      <c r="B37" s="109"/>
      <c r="C37" s="118"/>
      <c r="D37" s="115"/>
      <c r="E37" s="118"/>
      <c r="F37" s="118"/>
      <c r="H37" s="118" t="s">
        <v>134</v>
      </c>
      <c r="I37" s="109">
        <v>0.12</v>
      </c>
      <c r="J37" s="205">
        <v>2820</v>
      </c>
      <c r="L37" s="285" t="s">
        <v>286</v>
      </c>
      <c r="M37" s="286">
        <v>2090000</v>
      </c>
      <c r="N37" s="286">
        <v>277000</v>
      </c>
      <c r="O37" s="285">
        <v>257</v>
      </c>
      <c r="P37" s="287">
        <v>12.19</v>
      </c>
      <c r="Q37" s="288">
        <v>3140</v>
      </c>
      <c r="R37" s="282"/>
    </row>
    <row r="38" spans="1:18" x14ac:dyDescent="0.25">
      <c r="A38" s="118"/>
      <c r="B38" s="109"/>
      <c r="C38" s="118"/>
      <c r="D38" s="115"/>
      <c r="E38" s="118"/>
      <c r="F38" s="118"/>
      <c r="H38" s="118" t="s">
        <v>135</v>
      </c>
      <c r="I38" s="109">
        <v>0.06</v>
      </c>
      <c r="J38" s="205">
        <v>27120</v>
      </c>
      <c r="L38" s="285" t="s">
        <v>287</v>
      </c>
      <c r="M38" s="286">
        <v>19700000</v>
      </c>
      <c r="N38" s="286">
        <v>2580000</v>
      </c>
      <c r="O38" s="286">
        <v>2400</v>
      </c>
      <c r="P38" s="287">
        <v>13.02</v>
      </c>
      <c r="Q38" s="288">
        <v>31300</v>
      </c>
      <c r="R38" s="282"/>
    </row>
    <row r="39" spans="1:18" x14ac:dyDescent="0.25">
      <c r="A39" s="118"/>
      <c r="B39" s="109"/>
      <c r="C39" s="118"/>
      <c r="D39" s="115"/>
      <c r="E39" s="118"/>
      <c r="F39" s="118"/>
      <c r="H39" s="118" t="s">
        <v>136</v>
      </c>
      <c r="I39" s="109">
        <v>0.11</v>
      </c>
      <c r="J39" s="205">
        <v>5810</v>
      </c>
      <c r="L39" s="285" t="s">
        <v>288</v>
      </c>
      <c r="M39" s="286">
        <v>9850000</v>
      </c>
      <c r="N39" s="286">
        <v>1280000</v>
      </c>
      <c r="O39" s="286">
        <v>1190</v>
      </c>
      <c r="P39" s="287">
        <v>11.27</v>
      </c>
      <c r="Q39" s="288">
        <v>13400</v>
      </c>
      <c r="R39" s="290"/>
    </row>
    <row r="40" spans="1:18" x14ac:dyDescent="0.25">
      <c r="A40" s="118"/>
      <c r="B40" s="109"/>
      <c r="C40" s="118"/>
      <c r="D40" s="115"/>
      <c r="E40" s="118"/>
      <c r="F40" s="118"/>
      <c r="H40" s="118" t="s">
        <v>137</v>
      </c>
      <c r="I40" s="109">
        <v>0.08</v>
      </c>
      <c r="J40" s="205">
        <v>1900</v>
      </c>
      <c r="L40" s="285" t="s">
        <v>289</v>
      </c>
      <c r="M40" s="286">
        <v>723000</v>
      </c>
      <c r="N40" s="286">
        <v>62100</v>
      </c>
      <c r="O40" s="285">
        <v>58</v>
      </c>
      <c r="P40" s="287">
        <v>14.88</v>
      </c>
      <c r="Q40" s="288">
        <v>860</v>
      </c>
      <c r="R40" s="282"/>
    </row>
    <row r="41" spans="1:18" x14ac:dyDescent="0.25">
      <c r="A41" s="118"/>
      <c r="B41" s="109"/>
      <c r="C41" s="118"/>
      <c r="D41" s="115"/>
      <c r="E41" s="118"/>
      <c r="F41" s="118"/>
      <c r="H41" s="118" t="s">
        <v>138</v>
      </c>
      <c r="I41" s="109">
        <v>0.06</v>
      </c>
      <c r="J41" s="205">
        <v>14820</v>
      </c>
      <c r="L41" s="285" t="s">
        <v>290</v>
      </c>
      <c r="M41" s="286">
        <v>11600000</v>
      </c>
      <c r="N41" s="286">
        <v>1480000</v>
      </c>
      <c r="O41" s="286">
        <v>1380</v>
      </c>
      <c r="P41" s="287">
        <v>11.95</v>
      </c>
      <c r="Q41" s="288">
        <v>16500</v>
      </c>
      <c r="R41" s="282"/>
    </row>
    <row r="42" spans="1:18" x14ac:dyDescent="0.25">
      <c r="A42" s="118"/>
      <c r="B42" s="109"/>
      <c r="C42" s="118"/>
      <c r="D42" s="115"/>
      <c r="E42" s="118"/>
      <c r="F42" s="118"/>
      <c r="H42" s="118" t="s">
        <v>139</v>
      </c>
      <c r="I42" s="109">
        <v>0.13</v>
      </c>
      <c r="J42" s="205">
        <v>1910</v>
      </c>
      <c r="L42" s="285" t="s">
        <v>291</v>
      </c>
      <c r="M42" s="286">
        <v>3850000</v>
      </c>
      <c r="N42" s="286">
        <v>524000</v>
      </c>
      <c r="O42" s="285">
        <v>488</v>
      </c>
      <c r="P42" s="287">
        <v>12.45</v>
      </c>
      <c r="Q42" s="288">
        <v>6070</v>
      </c>
      <c r="R42" s="282"/>
    </row>
    <row r="43" spans="1:18" x14ac:dyDescent="0.25">
      <c r="A43" s="118"/>
      <c r="B43" s="109"/>
      <c r="C43" s="118"/>
      <c r="D43" s="115"/>
      <c r="E43" s="118"/>
      <c r="F43" s="118"/>
      <c r="H43" s="118" t="s">
        <v>140</v>
      </c>
      <c r="I43" s="109">
        <v>7.0000000000000007E-2</v>
      </c>
      <c r="J43" s="205">
        <v>6350</v>
      </c>
      <c r="L43" s="285" t="s">
        <v>292</v>
      </c>
      <c r="M43" s="286">
        <v>3930000</v>
      </c>
      <c r="N43" s="286">
        <v>469000</v>
      </c>
      <c r="O43" s="285">
        <v>437</v>
      </c>
      <c r="P43" s="287">
        <v>13.06</v>
      </c>
      <c r="Q43" s="288">
        <v>5700</v>
      </c>
      <c r="R43" s="282"/>
    </row>
    <row r="44" spans="1:18" x14ac:dyDescent="0.25">
      <c r="A44" s="118"/>
      <c r="B44" s="109"/>
      <c r="C44" s="118"/>
      <c r="D44" s="115"/>
      <c r="E44" s="118"/>
      <c r="F44" s="118"/>
      <c r="H44" s="118" t="s">
        <v>141</v>
      </c>
      <c r="I44" s="109">
        <v>0.06</v>
      </c>
      <c r="J44" s="205">
        <v>28490</v>
      </c>
      <c r="L44" s="285" t="s">
        <v>293</v>
      </c>
      <c r="M44" s="286">
        <v>12800000</v>
      </c>
      <c r="N44" s="286">
        <v>1650000</v>
      </c>
      <c r="O44" s="286">
        <v>1540</v>
      </c>
      <c r="P44" s="287">
        <v>12.47</v>
      </c>
      <c r="Q44" s="288">
        <v>19200</v>
      </c>
      <c r="R44" s="282"/>
    </row>
    <row r="45" spans="1:18" x14ac:dyDescent="0.25">
      <c r="A45" s="118"/>
      <c r="B45" s="109"/>
      <c r="C45" s="118"/>
      <c r="D45" s="115"/>
      <c r="E45" s="118"/>
      <c r="F45" s="118"/>
      <c r="H45" s="118" t="s">
        <v>142</v>
      </c>
      <c r="I45" s="109">
        <v>0.05</v>
      </c>
      <c r="J45" s="205">
        <v>1430</v>
      </c>
      <c r="L45" s="285" t="s">
        <v>294</v>
      </c>
      <c r="M45" s="286">
        <v>1050000</v>
      </c>
      <c r="N45" s="286">
        <v>134000</v>
      </c>
      <c r="O45" s="285">
        <v>124</v>
      </c>
      <c r="P45" s="287">
        <v>14.26</v>
      </c>
      <c r="Q45" s="288">
        <v>1780</v>
      </c>
      <c r="R45" s="282"/>
    </row>
    <row r="46" spans="1:18" x14ac:dyDescent="0.25">
      <c r="A46" s="118"/>
      <c r="B46" s="109"/>
      <c r="C46" s="118"/>
      <c r="D46" s="115"/>
      <c r="E46" s="118"/>
      <c r="F46" s="118"/>
      <c r="H46" s="118" t="s">
        <v>143</v>
      </c>
      <c r="I46" s="109">
        <v>0.11</v>
      </c>
      <c r="J46" s="118">
        <f t="shared" ref="J46:J47" si="0">M46*J$5/M$5</f>
        <v>5133.9389240506325</v>
      </c>
      <c r="L46" s="285" t="s">
        <v>295</v>
      </c>
      <c r="M46" s="286">
        <v>4770000</v>
      </c>
      <c r="N46" s="286">
        <v>706000</v>
      </c>
      <c r="O46" s="285">
        <v>657</v>
      </c>
      <c r="P46" s="287">
        <v>11.49</v>
      </c>
      <c r="Q46" s="288">
        <v>7550</v>
      </c>
      <c r="R46" s="282"/>
    </row>
    <row r="47" spans="1:18" x14ac:dyDescent="0.25">
      <c r="A47" s="118"/>
      <c r="B47" s="109"/>
      <c r="C47" s="118"/>
      <c r="D47" s="115"/>
      <c r="E47" s="118"/>
      <c r="F47" s="118"/>
      <c r="H47" s="118" t="s">
        <v>144</v>
      </c>
      <c r="I47" s="109">
        <v>0.09</v>
      </c>
      <c r="J47" s="118">
        <f t="shared" si="0"/>
        <v>909.47136075949368</v>
      </c>
      <c r="L47" s="285" t="s">
        <v>296</v>
      </c>
      <c r="M47" s="286">
        <v>845000</v>
      </c>
      <c r="N47" s="286">
        <v>84600</v>
      </c>
      <c r="O47" s="285">
        <v>79</v>
      </c>
      <c r="P47" s="287">
        <v>13.12</v>
      </c>
      <c r="Q47" s="288">
        <v>1030</v>
      </c>
      <c r="R47" s="282"/>
    </row>
    <row r="48" spans="1:18" x14ac:dyDescent="0.25">
      <c r="A48" s="118"/>
      <c r="B48" s="109"/>
      <c r="C48" s="118"/>
      <c r="D48" s="115"/>
      <c r="E48" s="118"/>
      <c r="F48" s="118"/>
      <c r="H48" s="118" t="s">
        <v>145</v>
      </c>
      <c r="I48" s="109">
        <v>0.11</v>
      </c>
      <c r="J48" s="205">
        <v>110</v>
      </c>
      <c r="L48" s="285" t="s">
        <v>297</v>
      </c>
      <c r="M48" s="286">
        <v>6500000</v>
      </c>
      <c r="N48" s="286">
        <v>981000</v>
      </c>
      <c r="O48" s="285">
        <v>913</v>
      </c>
      <c r="P48" s="287">
        <v>11.24</v>
      </c>
      <c r="Q48" s="288">
        <v>10300</v>
      </c>
      <c r="R48" s="282"/>
    </row>
    <row r="49" spans="1:18" x14ac:dyDescent="0.25">
      <c r="A49" s="118"/>
      <c r="B49" s="109"/>
      <c r="C49" s="118"/>
      <c r="D49" s="115"/>
      <c r="E49" s="118"/>
      <c r="F49" s="118"/>
      <c r="H49" s="118" t="s">
        <v>146</v>
      </c>
      <c r="I49" s="109">
        <v>0.16</v>
      </c>
      <c r="J49" s="205">
        <v>7840</v>
      </c>
      <c r="L49" s="285" t="s">
        <v>298</v>
      </c>
      <c r="M49" s="286">
        <v>26400000</v>
      </c>
      <c r="N49" s="286">
        <v>3350000</v>
      </c>
      <c r="O49" s="286">
        <v>3120</v>
      </c>
      <c r="P49" s="287">
        <v>11.39</v>
      </c>
      <c r="Q49" s="288">
        <v>35500</v>
      </c>
      <c r="R49" s="282"/>
    </row>
    <row r="50" spans="1:18" x14ac:dyDescent="0.25">
      <c r="A50" s="118"/>
      <c r="B50" s="109"/>
      <c r="C50" s="118"/>
      <c r="D50" s="115"/>
      <c r="E50" s="118"/>
      <c r="F50" s="118"/>
      <c r="H50" s="118" t="s">
        <v>147</v>
      </c>
      <c r="I50" s="109">
        <v>0.1</v>
      </c>
      <c r="J50" s="205">
        <v>16980</v>
      </c>
      <c r="L50" s="285" t="s">
        <v>299</v>
      </c>
      <c r="M50" s="286">
        <v>2900000</v>
      </c>
      <c r="N50" s="286">
        <v>336000</v>
      </c>
      <c r="O50" s="285">
        <v>313</v>
      </c>
      <c r="P50" s="287">
        <v>13.26</v>
      </c>
      <c r="Q50" s="288">
        <v>4150</v>
      </c>
      <c r="R50" s="282"/>
    </row>
    <row r="51" spans="1:18" x14ac:dyDescent="0.25">
      <c r="A51" s="118"/>
      <c r="B51" s="109"/>
      <c r="C51" s="118"/>
      <c r="D51" s="115"/>
      <c r="E51" s="118"/>
      <c r="F51" s="118"/>
      <c r="H51" s="118" t="s">
        <v>148</v>
      </c>
      <c r="I51" s="109">
        <v>0.05</v>
      </c>
      <c r="J51" s="205">
        <v>2790</v>
      </c>
      <c r="L51" s="285" t="s">
        <v>300</v>
      </c>
      <c r="M51" s="286">
        <v>627000</v>
      </c>
      <c r="N51" s="286">
        <v>74900</v>
      </c>
      <c r="O51" s="285">
        <v>70</v>
      </c>
      <c r="P51" s="287">
        <v>14.55</v>
      </c>
      <c r="Q51" s="288">
        <v>1010</v>
      </c>
      <c r="R51" s="282"/>
    </row>
    <row r="52" spans="1:18" x14ac:dyDescent="0.25">
      <c r="A52" s="118"/>
      <c r="B52" s="109"/>
      <c r="C52" s="118"/>
      <c r="D52" s="115"/>
      <c r="E52" s="118"/>
      <c r="F52" s="118"/>
      <c r="H52" s="118" t="s">
        <v>149</v>
      </c>
      <c r="I52" s="109">
        <v>0.09</v>
      </c>
      <c r="J52" s="205">
        <v>9270</v>
      </c>
      <c r="L52" s="285" t="s">
        <v>301</v>
      </c>
      <c r="M52" s="286">
        <v>8260000</v>
      </c>
      <c r="N52" s="286">
        <v>1030000</v>
      </c>
      <c r="O52" s="285">
        <v>956</v>
      </c>
      <c r="P52" s="287">
        <v>12.36</v>
      </c>
      <c r="Q52" s="288">
        <v>11800</v>
      </c>
      <c r="R52" s="282"/>
    </row>
    <row r="53" spans="1:18" x14ac:dyDescent="0.25">
      <c r="A53" s="118"/>
      <c r="B53" s="109"/>
      <c r="C53" s="118"/>
      <c r="D53" s="115"/>
      <c r="E53" s="118"/>
      <c r="F53" s="118"/>
      <c r="H53" s="118" t="s">
        <v>150</v>
      </c>
      <c r="I53" s="109">
        <v>7.0000000000000007E-2</v>
      </c>
      <c r="J53" s="205">
        <v>6640</v>
      </c>
      <c r="L53" s="285" t="s">
        <v>302</v>
      </c>
      <c r="M53" s="286">
        <v>6970000</v>
      </c>
      <c r="N53" s="286">
        <v>828000</v>
      </c>
      <c r="O53" s="285">
        <v>771</v>
      </c>
      <c r="P53" s="287">
        <v>13.83</v>
      </c>
      <c r="Q53" s="288">
        <v>10700</v>
      </c>
      <c r="R53" s="282"/>
    </row>
    <row r="54" spans="1:18" x14ac:dyDescent="0.25">
      <c r="A54" s="118"/>
      <c r="B54" s="109"/>
      <c r="C54" s="118"/>
      <c r="D54" s="115"/>
      <c r="E54" s="118"/>
      <c r="F54" s="118"/>
      <c r="H54" s="118" t="s">
        <v>151</v>
      </c>
      <c r="I54" s="109">
        <v>0.06</v>
      </c>
      <c r="J54" s="118">
        <f t="shared" ref="J54:J56" si="1">M54*J$5/M$5</f>
        <v>1991.1503164556962</v>
      </c>
      <c r="L54" s="285" t="s">
        <v>303</v>
      </c>
      <c r="M54" s="286">
        <v>1850000</v>
      </c>
      <c r="N54" s="286">
        <v>282000</v>
      </c>
      <c r="O54" s="285">
        <v>263</v>
      </c>
      <c r="P54" s="287">
        <v>10.62</v>
      </c>
      <c r="Q54" s="288">
        <v>2790</v>
      </c>
      <c r="R54" s="282"/>
    </row>
    <row r="55" spans="1:18" x14ac:dyDescent="0.25">
      <c r="A55" s="118"/>
      <c r="B55" s="109"/>
      <c r="C55" s="118"/>
      <c r="D55" s="115"/>
      <c r="E55" s="118"/>
      <c r="F55" s="118"/>
      <c r="H55" s="118" t="s">
        <v>152</v>
      </c>
      <c r="I55" s="109">
        <v>7.0000000000000007E-2</v>
      </c>
      <c r="J55" s="205">
        <v>13220</v>
      </c>
      <c r="L55" s="285" t="s">
        <v>304</v>
      </c>
      <c r="M55" s="286">
        <v>5740000</v>
      </c>
      <c r="N55" s="286">
        <v>578000</v>
      </c>
      <c r="O55" s="285">
        <v>538</v>
      </c>
      <c r="P55" s="287">
        <v>13.15</v>
      </c>
      <c r="Q55" s="288">
        <v>7070</v>
      </c>
      <c r="R55" s="282"/>
    </row>
    <row r="56" spans="1:18" x14ac:dyDescent="0.25">
      <c r="A56" s="118"/>
      <c r="B56" s="109"/>
      <c r="C56" s="118"/>
      <c r="D56" s="115"/>
      <c r="E56" s="118"/>
      <c r="F56" s="118"/>
      <c r="H56" s="118" t="s">
        <v>153</v>
      </c>
      <c r="I56" s="109">
        <v>0.09</v>
      </c>
      <c r="J56" s="118">
        <f t="shared" si="1"/>
        <v>627.48142405063288</v>
      </c>
      <c r="L56" s="285" t="s">
        <v>305</v>
      </c>
      <c r="M56" s="286">
        <v>583000</v>
      </c>
      <c r="N56" s="286">
        <v>66200</v>
      </c>
      <c r="O56" s="285">
        <v>62</v>
      </c>
      <c r="P56" s="287">
        <v>13.27</v>
      </c>
      <c r="Q56" s="288">
        <v>817</v>
      </c>
      <c r="R56" s="282"/>
    </row>
    <row r="57" spans="1:18" x14ac:dyDescent="0.25">
      <c r="A57" s="118"/>
      <c r="B57" s="109"/>
      <c r="C57" s="118"/>
      <c r="D57" s="115"/>
      <c r="E57" s="118"/>
      <c r="F57" s="118"/>
      <c r="I57" s="97"/>
      <c r="J57" s="97"/>
    </row>
    <row r="58" spans="1:18" x14ac:dyDescent="0.25">
      <c r="A58" s="118"/>
      <c r="B58" s="109"/>
      <c r="C58" s="118"/>
      <c r="D58" s="115"/>
      <c r="E58" s="118"/>
      <c r="F58" s="118"/>
      <c r="I58" s="97"/>
      <c r="J58" s="97"/>
      <c r="L58" s="289"/>
    </row>
    <row r="59" spans="1:18" x14ac:dyDescent="0.25">
      <c r="A59" s="118"/>
      <c r="B59" s="109"/>
      <c r="C59" s="118"/>
      <c r="D59" s="115"/>
      <c r="E59" s="118"/>
      <c r="F59" s="118"/>
      <c r="I59" s="97"/>
      <c r="J59" s="97"/>
    </row>
    <row r="60" spans="1:18" x14ac:dyDescent="0.25">
      <c r="A60" s="118"/>
      <c r="B60" s="109"/>
      <c r="C60" s="118"/>
      <c r="D60" s="115"/>
      <c r="E60" s="118"/>
      <c r="F60" s="118"/>
      <c r="I60" s="97"/>
      <c r="J60" s="97"/>
      <c r="L60" s="261"/>
      <c r="M60" s="258"/>
      <c r="N60" s="258"/>
      <c r="O60" s="258"/>
      <c r="P60" s="259"/>
      <c r="Q60" s="260"/>
    </row>
    <row r="61" spans="1:18" x14ac:dyDescent="0.25">
      <c r="A61" s="118"/>
      <c r="B61" s="109"/>
      <c r="C61" s="118"/>
      <c r="D61" s="115"/>
      <c r="E61" s="118"/>
      <c r="F61" s="118"/>
      <c r="I61" s="97"/>
      <c r="J61" s="97"/>
    </row>
    <row r="62" spans="1:18" x14ac:dyDescent="0.25">
      <c r="H62" s="221" t="s">
        <v>230</v>
      </c>
      <c r="I62" s="222">
        <v>1</v>
      </c>
      <c r="J62" s="97"/>
    </row>
    <row r="63" spans="1:18" x14ac:dyDescent="0.25">
      <c r="H63" s="194" t="s">
        <v>308</v>
      </c>
      <c r="I63" s="263">
        <v>1</v>
      </c>
    </row>
    <row r="64" spans="1:18" ht="12.75" x14ac:dyDescent="0.2">
      <c r="I64" s="97"/>
      <c r="J64" s="97"/>
    </row>
    <row r="65" spans="9:10" ht="12.75" x14ac:dyDescent="0.2">
      <c r="I65" s="97"/>
      <c r="J65" s="97"/>
    </row>
  </sheetData>
  <mergeCells count="9">
    <mergeCell ref="L3:Q3"/>
    <mergeCell ref="H3:J3"/>
    <mergeCell ref="A31:E31"/>
    <mergeCell ref="A33:E33"/>
    <mergeCell ref="A30:E30"/>
    <mergeCell ref="A2:E2"/>
    <mergeCell ref="A28:E28"/>
    <mergeCell ref="A29:E29"/>
    <mergeCell ref="A32:E32"/>
  </mergeCells>
  <conditionalFormatting sqref="D23">
    <cfRule type="cellIs" dxfId="2" priority="3" operator="equal">
      <formula>"$i$63=1"</formula>
    </cfRule>
  </conditionalFormatting>
  <conditionalFormatting sqref="A23:E23">
    <cfRule type="expression" dxfId="1" priority="1">
      <formula>"$i$63=1"</formula>
    </cfRule>
    <cfRule type="expression" dxfId="0" priority="2">
      <formula>"if $I$63=1"</formula>
    </cfRule>
  </conditionalFormatting>
  <hyperlinks>
    <hyperlink ref="A29" r:id="rId1" display=" http://www.kff.org/other/state-indicator/total-population/?currentTimeframe=0&amp;sortModel=%7B%22colId%22:%22Location%22,%22sort%22:%22asc%22%7D" xr:uid="{00000000-0004-0000-0300-000000000000}"/>
    <hyperlink ref="A33" r:id="rId2" display="https://www.bls.gov/oes/2014/may/oes_research_estimates.htm" xr:uid="{00000000-0004-0000-0300-000001000000}"/>
    <hyperlink ref="A30" r:id="rId3" display="http://www.huffingtonpost.com/steffie-woolhandler/urban-institute-errors-single-payer-costs_b_10100836.html" xr:uid="{00000000-0004-0000-0300-000002000000}"/>
    <hyperlink ref="A31" r:id="rId4" display="http://www.infoshare.org/main/Economic_Analysis_New_York_Health_Act_-_GFriedman_-_April_2015.pdf" xr:uid="{2564F49D-2AAB-4315-BC8A-77ABAA8E978E}"/>
    <hyperlink ref="A32" r:id="rId5" display="http://www.aarp.org/ppi/info-2015/valuing-the-invaluable-2015-update.html" xr:uid="{EF825FC7-6DA7-437E-8F63-DF7047E49FE7}"/>
  </hyperlinks>
  <pageMargins left="0.7" right="0.7" top="0.75" bottom="0.75" header="0.3" footer="0.3"/>
  <pageSetup scale="51" orientation="landscape" horizontalDpi="1200" verticalDpi="1200" r:id="rId6"/>
  <drawing r:id="rId7"/>
  <legacyDrawing r:id="rId8"/>
  <mc:AlternateContent xmlns:mc="http://schemas.openxmlformats.org/markup-compatibility/2006">
    <mc:Choice Requires="x14">
      <controls>
        <mc:AlternateContent xmlns:mc="http://schemas.openxmlformats.org/markup-compatibility/2006">
          <mc:Choice Requires="x14">
            <control shapeId="3073" r:id="rId9" name="Option Button 1">
              <controlPr defaultSize="0" autoFill="0" autoLine="0" autoPict="0">
                <anchor moveWithCells="1">
                  <from>
                    <xdr:col>1</xdr:col>
                    <xdr:colOff>66675</xdr:colOff>
                    <xdr:row>9</xdr:row>
                    <xdr:rowOff>95250</xdr:rowOff>
                  </from>
                  <to>
                    <xdr:col>1</xdr:col>
                    <xdr:colOff>561975</xdr:colOff>
                    <xdr:row>9</xdr:row>
                    <xdr:rowOff>295275</xdr:rowOff>
                  </to>
                </anchor>
              </controlPr>
            </control>
          </mc:Choice>
        </mc:AlternateContent>
        <mc:AlternateContent xmlns:mc="http://schemas.openxmlformats.org/markup-compatibility/2006">
          <mc:Choice Requires="x14">
            <control shapeId="3074" r:id="rId10" name="Option Button 2">
              <controlPr defaultSize="0" autoFill="0" autoLine="0" autoPict="0">
                <anchor moveWithCells="1">
                  <from>
                    <xdr:col>1</xdr:col>
                    <xdr:colOff>466725</xdr:colOff>
                    <xdr:row>9</xdr:row>
                    <xdr:rowOff>66675</xdr:rowOff>
                  </from>
                  <to>
                    <xdr:col>1</xdr:col>
                    <xdr:colOff>904875</xdr:colOff>
                    <xdr:row>9</xdr:row>
                    <xdr:rowOff>333375</xdr:rowOff>
                  </to>
                </anchor>
              </controlPr>
            </control>
          </mc:Choice>
        </mc:AlternateContent>
        <mc:AlternateContent xmlns:mc="http://schemas.openxmlformats.org/markup-compatibility/2006">
          <mc:Choice Requires="x14">
            <control shapeId="3075" r:id="rId11" name="Group Box 3">
              <controlPr defaultSize="0" autoFill="0" autoPict="0">
                <anchor moveWithCells="1">
                  <from>
                    <xdr:col>1</xdr:col>
                    <xdr:colOff>28575</xdr:colOff>
                    <xdr:row>9</xdr:row>
                    <xdr:rowOff>19050</xdr:rowOff>
                  </from>
                  <to>
                    <xdr:col>1</xdr:col>
                    <xdr:colOff>1000125</xdr:colOff>
                    <xdr:row>9</xdr:row>
                    <xdr:rowOff>390525</xdr:rowOff>
                  </to>
                </anchor>
              </controlPr>
            </control>
          </mc:Choice>
        </mc:AlternateContent>
        <mc:AlternateContent xmlns:mc="http://schemas.openxmlformats.org/markup-compatibility/2006">
          <mc:Choice Requires="x14">
            <control shapeId="3076" r:id="rId12" name="Group Box 4">
              <controlPr defaultSize="0" autoFill="0" autoPict="0">
                <anchor moveWithCells="1">
                  <from>
                    <xdr:col>1</xdr:col>
                    <xdr:colOff>28575</xdr:colOff>
                    <xdr:row>20</xdr:row>
                    <xdr:rowOff>209550</xdr:rowOff>
                  </from>
                  <to>
                    <xdr:col>1</xdr:col>
                    <xdr:colOff>933450</xdr:colOff>
                    <xdr:row>21</xdr:row>
                    <xdr:rowOff>228600</xdr:rowOff>
                  </to>
                </anchor>
              </controlPr>
            </control>
          </mc:Choice>
        </mc:AlternateContent>
        <mc:AlternateContent xmlns:mc="http://schemas.openxmlformats.org/markup-compatibility/2006">
          <mc:Choice Requires="x14">
            <control shapeId="3077" r:id="rId13" name="Option Button 5">
              <controlPr defaultSize="0" autoFill="0" autoLine="0" autoPict="0">
                <anchor moveWithCells="1">
                  <from>
                    <xdr:col>1</xdr:col>
                    <xdr:colOff>28575</xdr:colOff>
                    <xdr:row>21</xdr:row>
                    <xdr:rowOff>47625</xdr:rowOff>
                  </from>
                  <to>
                    <xdr:col>1</xdr:col>
                    <xdr:colOff>485775</xdr:colOff>
                    <xdr:row>21</xdr:row>
                    <xdr:rowOff>180975</xdr:rowOff>
                  </to>
                </anchor>
              </controlPr>
            </control>
          </mc:Choice>
        </mc:AlternateContent>
        <mc:AlternateContent xmlns:mc="http://schemas.openxmlformats.org/markup-compatibility/2006">
          <mc:Choice Requires="x14">
            <control shapeId="3090" r:id="rId14" name="Option Button 18">
              <controlPr defaultSize="0" autoFill="0" autoLine="0" autoPict="0">
                <anchor moveWithCells="1">
                  <from>
                    <xdr:col>1</xdr:col>
                    <xdr:colOff>438150</xdr:colOff>
                    <xdr:row>21</xdr:row>
                    <xdr:rowOff>0</xdr:rowOff>
                  </from>
                  <to>
                    <xdr:col>1</xdr:col>
                    <xdr:colOff>885825</xdr:colOff>
                    <xdr:row>21</xdr:row>
                    <xdr:rowOff>219075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N74"/>
  <sheetViews>
    <sheetView topLeftCell="B1" workbookViewId="0">
      <selection activeCell="F8" sqref="F8"/>
    </sheetView>
  </sheetViews>
  <sheetFormatPr defaultColWidth="9.140625" defaultRowHeight="15.75" x14ac:dyDescent="0.25"/>
  <cols>
    <col min="1" max="1" width="49.85546875" style="97" customWidth="1"/>
    <col min="2" max="2" width="27.28515625" style="96" customWidth="1"/>
    <col min="3" max="3" width="28.85546875" style="97" customWidth="1"/>
    <col min="4" max="4" width="11.28515625" style="97" customWidth="1"/>
    <col min="5" max="5" width="26.42578125" style="97" bestFit="1" customWidth="1"/>
    <col min="6" max="6" width="12.28515625" style="97" customWidth="1"/>
    <col min="7" max="7" width="17.140625" style="144" customWidth="1"/>
    <col min="8" max="11" width="16.5703125" style="144" customWidth="1"/>
    <col min="12" max="12" width="9.28515625" style="97" bestFit="1" customWidth="1"/>
    <col min="13" max="13" width="15.28515625" style="96" customWidth="1"/>
    <col min="14" max="14" width="17.140625" style="97" customWidth="1"/>
    <col min="15" max="15" width="16.85546875" style="131" customWidth="1"/>
    <col min="16" max="16" width="15.140625" style="97" customWidth="1"/>
    <col min="17" max="17" width="9.140625" style="97"/>
    <col min="18" max="18" width="29.140625" style="180" customWidth="1"/>
    <col min="19" max="19" width="15.42578125" style="97" bestFit="1" customWidth="1"/>
    <col min="20" max="21" width="12.42578125" style="97" bestFit="1" customWidth="1"/>
    <col min="22" max="22" width="13.7109375" style="97" bestFit="1" customWidth="1"/>
    <col min="23" max="23" width="15.42578125" style="97" bestFit="1" customWidth="1"/>
    <col min="24" max="25" width="13.7109375" style="97" bestFit="1" customWidth="1"/>
    <col min="26" max="27" width="15.42578125" style="97" bestFit="1" customWidth="1"/>
    <col min="28" max="29" width="13.7109375" style="97" bestFit="1" customWidth="1"/>
    <col min="30" max="30" width="15.42578125" style="97" bestFit="1" customWidth="1"/>
    <col min="31" max="31" width="13.7109375" style="97" bestFit="1" customWidth="1"/>
    <col min="32" max="32" width="12.42578125" style="97" bestFit="1" customWidth="1"/>
    <col min="33" max="39" width="13.7109375" style="97" bestFit="1" customWidth="1"/>
    <col min="40" max="40" width="15.42578125" style="97" bestFit="1" customWidth="1"/>
    <col min="41" max="16384" width="9.140625" style="97"/>
  </cols>
  <sheetData>
    <row r="1" spans="1:40" ht="18.75" x14ac:dyDescent="0.3">
      <c r="A1" s="128" t="str">
        <f>'I. Current &amp; Projected Spending'!$A$1</f>
        <v>NEW YORK</v>
      </c>
      <c r="R1" s="118"/>
    </row>
    <row r="2" spans="1:40" ht="18.75" x14ac:dyDescent="0.3">
      <c r="A2" s="345" t="s">
        <v>224</v>
      </c>
      <c r="B2" s="346"/>
      <c r="C2" s="346"/>
      <c r="D2" s="346"/>
      <c r="E2" s="346"/>
      <c r="F2" s="346"/>
      <c r="G2" s="346"/>
      <c r="H2" s="346"/>
      <c r="I2" s="346"/>
      <c r="J2" s="346"/>
      <c r="K2" s="346"/>
      <c r="R2" s="118"/>
    </row>
    <row r="3" spans="1:40" ht="18.75" x14ac:dyDescent="0.3">
      <c r="A3" s="292"/>
      <c r="B3" s="293"/>
      <c r="C3" s="293"/>
      <c r="D3" s="293"/>
      <c r="E3" s="293"/>
      <c r="F3" s="293"/>
      <c r="G3" s="293"/>
      <c r="H3" s="293"/>
      <c r="I3" s="293"/>
      <c r="J3" s="293"/>
      <c r="K3" s="293"/>
      <c r="M3" s="280"/>
      <c r="R3" s="118"/>
    </row>
    <row r="4" spans="1:40" ht="18.75" x14ac:dyDescent="0.3">
      <c r="A4" s="145"/>
      <c r="B4" s="132"/>
      <c r="C4" s="132"/>
      <c r="D4" s="132"/>
      <c r="E4" s="132"/>
      <c r="F4" s="132"/>
      <c r="G4" s="350" t="s">
        <v>72</v>
      </c>
      <c r="H4" s="351"/>
      <c r="I4" s="351"/>
      <c r="J4" s="351"/>
      <c r="K4" s="351"/>
      <c r="R4" s="118"/>
      <c r="S4" s="342" t="s">
        <v>170</v>
      </c>
    </row>
    <row r="5" spans="1:40" ht="46.5" customHeight="1" x14ac:dyDescent="0.3">
      <c r="A5" s="145"/>
      <c r="B5" s="132"/>
      <c r="C5" s="132"/>
      <c r="D5" s="132"/>
      <c r="E5" s="132"/>
      <c r="G5" s="146" t="s">
        <v>73</v>
      </c>
      <c r="H5" s="146" t="s">
        <v>74</v>
      </c>
      <c r="I5" s="146" t="s">
        <v>75</v>
      </c>
      <c r="J5" s="146" t="s">
        <v>76</v>
      </c>
      <c r="K5" s="147" t="s">
        <v>77</v>
      </c>
      <c r="M5" s="353" t="s">
        <v>78</v>
      </c>
      <c r="N5" s="353" t="s">
        <v>158</v>
      </c>
      <c r="O5" s="353" t="s">
        <v>351</v>
      </c>
      <c r="P5" s="353" t="s">
        <v>352</v>
      </c>
      <c r="R5" s="118"/>
      <c r="S5" s="342"/>
      <c r="T5" s="343" t="s">
        <v>171</v>
      </c>
      <c r="U5" s="343"/>
      <c r="V5" s="343"/>
      <c r="W5" s="343"/>
      <c r="X5" s="343"/>
      <c r="Y5" s="343"/>
      <c r="Z5" s="343"/>
      <c r="AA5" s="343"/>
      <c r="AB5" s="343"/>
      <c r="AC5" s="343"/>
      <c r="AD5" s="148"/>
      <c r="AE5" s="343" t="s">
        <v>172</v>
      </c>
      <c r="AF5" s="343"/>
      <c r="AG5" s="343"/>
      <c r="AH5" s="343"/>
      <c r="AI5" s="343"/>
      <c r="AJ5" s="343"/>
      <c r="AK5" s="343"/>
      <c r="AL5" s="343"/>
      <c r="AM5" s="343"/>
      <c r="AN5" s="343"/>
    </row>
    <row r="6" spans="1:40" ht="18.75" customHeight="1" x14ac:dyDescent="0.25">
      <c r="A6" s="347"/>
      <c r="B6" s="348"/>
      <c r="C6" s="96"/>
      <c r="D6" s="96"/>
      <c r="E6" s="149" t="s">
        <v>5</v>
      </c>
      <c r="F6" s="196" t="s">
        <v>211</v>
      </c>
      <c r="G6" s="150" t="s">
        <v>50</v>
      </c>
      <c r="H6" s="150" t="s">
        <v>50</v>
      </c>
      <c r="I6" s="151">
        <f>'I. Current &amp; Projected Spending'!$D$5</f>
        <v>2021</v>
      </c>
      <c r="J6" s="151">
        <f>'I. Current &amp; Projected Spending'!$D$5</f>
        <v>2021</v>
      </c>
      <c r="K6" s="147">
        <f>'I. Current &amp; Projected Spending'!$D$5</f>
        <v>2021</v>
      </c>
      <c r="L6" s="152" t="s">
        <v>6</v>
      </c>
      <c r="M6" s="354"/>
      <c r="N6" s="354"/>
      <c r="O6" s="354"/>
      <c r="P6" s="354"/>
      <c r="R6" s="118"/>
      <c r="S6" s="342"/>
      <c r="T6" s="344" t="s">
        <v>173</v>
      </c>
      <c r="U6" s="341" t="s">
        <v>174</v>
      </c>
      <c r="V6" s="341" t="s">
        <v>175</v>
      </c>
      <c r="W6" s="341" t="s">
        <v>176</v>
      </c>
      <c r="X6" s="341" t="s">
        <v>177</v>
      </c>
      <c r="Y6" s="341" t="s">
        <v>178</v>
      </c>
      <c r="Z6" s="341" t="s">
        <v>179</v>
      </c>
      <c r="AA6" s="341" t="s">
        <v>180</v>
      </c>
      <c r="AB6" s="341" t="s">
        <v>181</v>
      </c>
      <c r="AC6" s="341" t="s">
        <v>182</v>
      </c>
      <c r="AD6" s="153"/>
      <c r="AE6" s="341" t="s">
        <v>173</v>
      </c>
      <c r="AF6" s="341" t="s">
        <v>174</v>
      </c>
      <c r="AG6" s="341" t="s">
        <v>175</v>
      </c>
      <c r="AH6" s="341" t="s">
        <v>176</v>
      </c>
      <c r="AI6" s="341" t="s">
        <v>177</v>
      </c>
      <c r="AJ6" s="341" t="s">
        <v>178</v>
      </c>
      <c r="AK6" s="341" t="s">
        <v>179</v>
      </c>
      <c r="AL6" s="341" t="s">
        <v>180</v>
      </c>
      <c r="AM6" s="341" t="s">
        <v>181</v>
      </c>
      <c r="AN6" s="343" t="s">
        <v>182</v>
      </c>
    </row>
    <row r="7" spans="1:40" ht="19.5" customHeight="1" x14ac:dyDescent="0.25">
      <c r="A7" s="118"/>
      <c r="B7" s="349" t="str">
        <f>CONCATENATE("Millions of Dollars ($",'I. Current &amp; Projected Spending'!D5,")")</f>
        <v>Millions of Dollars ($2021)</v>
      </c>
      <c r="C7" s="349"/>
      <c r="D7" s="209"/>
      <c r="E7" s="106" t="s">
        <v>17</v>
      </c>
      <c r="F7" s="154">
        <f>IF($N$20=1,$N$18*M7,$O$18*M7)</f>
        <v>5.6568961522995398E-2</v>
      </c>
      <c r="G7" s="155">
        <f>VLOOKUP(UPPER($A$1),$R$8:$AN$59,3,FALSE)</f>
        <v>1162295</v>
      </c>
      <c r="H7" s="155">
        <f>VLOOKUP(UPPER($A$1),$R$8:$AN$59,14,FALSE)</f>
        <v>-1628385</v>
      </c>
      <c r="I7" s="155">
        <f t="shared" ref="I7:I16" si="0">G7*(1+$B$20)^(I$6-G$6)</f>
        <v>1513610.4318096421</v>
      </c>
      <c r="J7" s="155">
        <f t="shared" ref="J7:J16" si="1">H7*(1+$B$20)^(J$6-H$6)</f>
        <v>-2120580.8533998202</v>
      </c>
      <c r="K7" s="105">
        <f>I7+J7</f>
        <v>-606970.42159017804</v>
      </c>
      <c r="L7" s="118">
        <v>0</v>
      </c>
      <c r="M7" s="156">
        <f t="shared" ref="M7:M16" si="2">(1 + EXP((-L7/$J$21+$J$22)))^-1</f>
        <v>0.37754066879814541</v>
      </c>
      <c r="N7" s="155">
        <f>$M7*K7</f>
        <v>-229156.01890784811</v>
      </c>
      <c r="O7" s="155">
        <f>$M7*I7</f>
        <v>571449.49472526193</v>
      </c>
      <c r="P7" s="155">
        <f>$M7*J7</f>
        <v>-800605.51363311009</v>
      </c>
      <c r="R7" s="118"/>
      <c r="S7" s="342"/>
      <c r="T7" s="344"/>
      <c r="U7" s="341"/>
      <c r="V7" s="341"/>
      <c r="W7" s="341"/>
      <c r="X7" s="341"/>
      <c r="Y7" s="341"/>
      <c r="Z7" s="341"/>
      <c r="AA7" s="341"/>
      <c r="AB7" s="341"/>
      <c r="AC7" s="341"/>
      <c r="AD7" s="157" t="s">
        <v>170</v>
      </c>
      <c r="AE7" s="341"/>
      <c r="AF7" s="341"/>
      <c r="AG7" s="341"/>
      <c r="AH7" s="341"/>
      <c r="AI7" s="341"/>
      <c r="AJ7" s="341"/>
      <c r="AK7" s="341"/>
      <c r="AL7" s="341"/>
      <c r="AM7" s="341"/>
      <c r="AN7" s="343"/>
    </row>
    <row r="8" spans="1:40" x14ac:dyDescent="0.25">
      <c r="A8" s="122" t="s">
        <v>46</v>
      </c>
      <c r="C8" s="105">
        <f>'III. Added Costs &amp; Net Savings'!$E$17</f>
        <v>245837.81885433116</v>
      </c>
      <c r="D8" s="209"/>
      <c r="E8" s="106" t="s">
        <v>7</v>
      </c>
      <c r="F8" s="154">
        <f t="shared" ref="F8:F16" si="3">IF($N$20=1,$N$18*M8,$O$18*M8)</f>
        <v>6.5601464218670594E-2</v>
      </c>
      <c r="G8" s="155">
        <f>VLOOKUP(UPPER($A$1),$R$8:$AN$59,4,FALSE)</f>
        <v>5452738</v>
      </c>
      <c r="H8" s="155">
        <f>VLOOKUP(UPPER($A$1),$R$8:$AN$59,15,FALSE)</f>
        <v>2931735</v>
      </c>
      <c r="I8" s="155">
        <f t="shared" si="0"/>
        <v>7100883.2686407883</v>
      </c>
      <c r="J8" s="155">
        <f t="shared" si="1"/>
        <v>3817881.5871198284</v>
      </c>
      <c r="K8" s="105">
        <f t="shared" ref="K8:K16" si="4">I8+J8</f>
        <v>10918764.855760617</v>
      </c>
      <c r="L8" s="118">
        <v>5000</v>
      </c>
      <c r="M8" s="156">
        <f t="shared" si="2"/>
        <v>0.43782349911420193</v>
      </c>
      <c r="N8" s="155">
        <f t="shared" ref="N8:N16" si="5">M8*K8</f>
        <v>4780491.8351542875</v>
      </c>
      <c r="O8" s="155">
        <f t="shared" ref="O8:P16" si="6">$M8*I8</f>
        <v>3108933.5594778014</v>
      </c>
      <c r="P8" s="155">
        <f t="shared" ref="P8:P17" si="7">$M8*J8</f>
        <v>1671558.2756764861</v>
      </c>
      <c r="R8" s="122" t="s">
        <v>185</v>
      </c>
      <c r="S8" s="155">
        <v>7070643171</v>
      </c>
      <c r="T8" s="155">
        <v>19921960</v>
      </c>
      <c r="U8" s="155">
        <v>92032303</v>
      </c>
      <c r="V8" s="155">
        <v>437317925</v>
      </c>
      <c r="W8" s="155">
        <v>1042823500</v>
      </c>
      <c r="X8" s="155">
        <v>950489076</v>
      </c>
      <c r="Y8" s="155">
        <v>844295870</v>
      </c>
      <c r="Z8" s="155">
        <v>1860123716</v>
      </c>
      <c r="AA8" s="155">
        <v>1054742777</v>
      </c>
      <c r="AB8" s="155">
        <v>326732235</v>
      </c>
      <c r="AC8" s="155">
        <v>442163809</v>
      </c>
      <c r="AD8" s="155">
        <v>3477144376</v>
      </c>
      <c r="AE8" s="155">
        <v>-17365900</v>
      </c>
      <c r="AF8" s="155">
        <v>33802020</v>
      </c>
      <c r="AG8" s="155">
        <v>139788107</v>
      </c>
      <c r="AH8" s="155">
        <v>247915089</v>
      </c>
      <c r="AI8" s="155">
        <v>295962237</v>
      </c>
      <c r="AJ8" s="155">
        <v>291871464</v>
      </c>
      <c r="AK8" s="155">
        <v>655169961</v>
      </c>
      <c r="AL8" s="155">
        <v>521512965</v>
      </c>
      <c r="AM8" s="155">
        <v>271078704</v>
      </c>
      <c r="AN8" s="155">
        <v>1037409729</v>
      </c>
    </row>
    <row r="9" spans="1:40" x14ac:dyDescent="0.25">
      <c r="A9" s="122" t="s">
        <v>47</v>
      </c>
      <c r="B9" s="105"/>
      <c r="C9" s="158">
        <f>'IV(A). Financing by Income Tax'!$D$25</f>
        <v>6376.3315366026445</v>
      </c>
      <c r="D9" s="209"/>
      <c r="E9" s="106" t="s">
        <v>8</v>
      </c>
      <c r="F9" s="154">
        <f t="shared" si="3"/>
        <v>8.8802443973768172E-2</v>
      </c>
      <c r="G9" s="155">
        <f>VLOOKUP(UPPER($A$1),$R$8:$AN$59,5,FALSE)</f>
        <v>26115798</v>
      </c>
      <c r="H9" s="155">
        <f>VLOOKUP(UPPER($A$1),$R$8:$AN$59,16,FALSE)</f>
        <v>9884054</v>
      </c>
      <c r="I9" s="155">
        <f t="shared" si="0"/>
        <v>34009562.363972478</v>
      </c>
      <c r="J9" s="155">
        <f t="shared" si="1"/>
        <v>12871609.396039577</v>
      </c>
      <c r="K9" s="105">
        <f t="shared" si="4"/>
        <v>46881171.760012053</v>
      </c>
      <c r="L9" s="118">
        <v>17500</v>
      </c>
      <c r="M9" s="156">
        <f t="shared" si="2"/>
        <v>0.59266659995406967</v>
      </c>
      <c r="N9" s="155">
        <f t="shared" si="5"/>
        <v>27784904.668869093</v>
      </c>
      <c r="O9" s="155">
        <f t="shared" si="6"/>
        <v>20156331.692181461</v>
      </c>
      <c r="P9" s="155">
        <f t="shared" si="7"/>
        <v>7628572.9766876325</v>
      </c>
      <c r="R9" s="122" t="s">
        <v>104</v>
      </c>
      <c r="S9" s="155">
        <v>80343912</v>
      </c>
      <c r="T9" s="155">
        <v>172160</v>
      </c>
      <c r="U9" s="155">
        <v>1286143</v>
      </c>
      <c r="V9" s="155">
        <v>7364425</v>
      </c>
      <c r="W9" s="155">
        <v>14639799</v>
      </c>
      <c r="X9" s="155">
        <v>12367742</v>
      </c>
      <c r="Y9" s="155">
        <v>10892315</v>
      </c>
      <c r="Z9" s="155">
        <v>20954166</v>
      </c>
      <c r="AA9" s="155">
        <v>8275196</v>
      </c>
      <c r="AB9" s="155">
        <v>2402147</v>
      </c>
      <c r="AC9" s="155">
        <v>1989819</v>
      </c>
      <c r="AD9" s="155">
        <v>34958933</v>
      </c>
      <c r="AE9" s="155">
        <v>-209012</v>
      </c>
      <c r="AF9" s="155">
        <v>449344</v>
      </c>
      <c r="AG9" s="155">
        <v>2014201</v>
      </c>
      <c r="AH9" s="155">
        <v>3388753</v>
      </c>
      <c r="AI9" s="155">
        <v>3895889</v>
      </c>
      <c r="AJ9" s="155">
        <v>3729946</v>
      </c>
      <c r="AK9" s="155">
        <v>7585836</v>
      </c>
      <c r="AL9" s="155">
        <v>5231970</v>
      </c>
      <c r="AM9" s="155">
        <v>2637067</v>
      </c>
      <c r="AN9" s="155">
        <v>6234939</v>
      </c>
    </row>
    <row r="10" spans="1:40" x14ac:dyDescent="0.25">
      <c r="A10" s="103" t="s">
        <v>49</v>
      </c>
      <c r="B10" s="115"/>
      <c r="C10" s="110">
        <f>SUM(C8:C9)</f>
        <v>252214.15039093379</v>
      </c>
      <c r="D10" s="209"/>
      <c r="E10" s="106" t="s">
        <v>9</v>
      </c>
      <c r="F10" s="154">
        <f t="shared" si="3"/>
        <v>0.119596644414108</v>
      </c>
      <c r="G10" s="155">
        <f>VLOOKUP(UPPER($A$1),$R$8:$AN$59,6,FALSE)</f>
        <v>62908013</v>
      </c>
      <c r="H10" s="155">
        <f>VLOOKUP(UPPER($A$1),$R$8:$AN$59,17,FALSE)</f>
        <v>14732007</v>
      </c>
      <c r="I10" s="155">
        <f t="shared" si="0"/>
        <v>81922596.863289073</v>
      </c>
      <c r="J10" s="155">
        <f t="shared" si="1"/>
        <v>19184905.27507446</v>
      </c>
      <c r="K10" s="105">
        <f t="shared" si="4"/>
        <v>101107502.13836354</v>
      </c>
      <c r="L10" s="118">
        <v>37500</v>
      </c>
      <c r="M10" s="156">
        <f t="shared" si="2"/>
        <v>0.79818677773962121</v>
      </c>
      <c r="N10" s="155">
        <f t="shared" si="5"/>
        <v>80702671.337122262</v>
      </c>
      <c r="O10" s="155">
        <f t="shared" si="6"/>
        <v>65389533.614370704</v>
      </c>
      <c r="P10" s="155">
        <f t="shared" si="7"/>
        <v>15313137.722751545</v>
      </c>
      <c r="R10" s="122" t="s">
        <v>105</v>
      </c>
      <c r="S10" s="155">
        <v>17646819</v>
      </c>
      <c r="T10" s="155">
        <v>33670</v>
      </c>
      <c r="U10" s="155">
        <v>148117</v>
      </c>
      <c r="V10" s="155">
        <v>801949</v>
      </c>
      <c r="W10" s="155">
        <v>2400885</v>
      </c>
      <c r="X10" s="155">
        <v>2509546</v>
      </c>
      <c r="Y10" s="155">
        <v>2413115</v>
      </c>
      <c r="Z10" s="155">
        <v>5966043</v>
      </c>
      <c r="AA10" s="155">
        <v>2488308</v>
      </c>
      <c r="AB10" s="155">
        <v>525748</v>
      </c>
      <c r="AC10" s="155">
        <v>359438</v>
      </c>
      <c r="AD10" s="155">
        <v>7338910</v>
      </c>
      <c r="AE10" s="155">
        <v>-68360</v>
      </c>
      <c r="AF10" s="155">
        <v>83741</v>
      </c>
      <c r="AG10" s="155">
        <v>227131</v>
      </c>
      <c r="AH10" s="155">
        <v>519631</v>
      </c>
      <c r="AI10" s="155">
        <v>681435</v>
      </c>
      <c r="AJ10" s="155">
        <v>756150</v>
      </c>
      <c r="AK10" s="155">
        <v>1919221</v>
      </c>
      <c r="AL10" s="155">
        <v>1364032</v>
      </c>
      <c r="AM10" s="155">
        <v>625743</v>
      </c>
      <c r="AN10" s="155">
        <v>1230186</v>
      </c>
    </row>
    <row r="11" spans="1:40" x14ac:dyDescent="0.25">
      <c r="A11" s="118" t="s">
        <v>4</v>
      </c>
      <c r="B11" s="105">
        <f>'I. Current &amp; Projected Spending'!D15</f>
        <v>61637.80976844117</v>
      </c>
      <c r="C11" s="118"/>
      <c r="D11" s="209"/>
      <c r="E11" s="106" t="s">
        <v>10</v>
      </c>
      <c r="F11" s="154">
        <f t="shared" si="3"/>
        <v>0.13971452537505061</v>
      </c>
      <c r="G11" s="155">
        <f>VLOOKUP(UPPER($A$1),$R$8:$AN$59,7,FALSE)</f>
        <v>62253317</v>
      </c>
      <c r="H11" s="155">
        <f>VLOOKUP(UPPER($A$1),$R$8:$AN$59,18,FALSE)</f>
        <v>17681933</v>
      </c>
      <c r="I11" s="155">
        <f t="shared" si="0"/>
        <v>81070012.368591905</v>
      </c>
      <c r="J11" s="155">
        <f t="shared" si="1"/>
        <v>23026476.27612539</v>
      </c>
      <c r="K11" s="105">
        <f t="shared" si="4"/>
        <v>104096488.64471729</v>
      </c>
      <c r="L11" s="118">
        <v>62500</v>
      </c>
      <c r="M11" s="156">
        <f t="shared" si="2"/>
        <v>0.93245330886037092</v>
      </c>
      <c r="N11" s="155">
        <f t="shared" si="5"/>
        <v>97065115.27751267</v>
      </c>
      <c r="O11" s="155">
        <f t="shared" si="6"/>
        <v>75594001.282444715</v>
      </c>
      <c r="P11" s="155">
        <f t="shared" si="7"/>
        <v>21471113.99506795</v>
      </c>
      <c r="R11" s="122" t="s">
        <v>106</v>
      </c>
      <c r="S11" s="155">
        <v>120495639</v>
      </c>
      <c r="T11" s="155">
        <v>325612</v>
      </c>
      <c r="U11" s="155">
        <v>1596169</v>
      </c>
      <c r="V11" s="155">
        <v>9314045</v>
      </c>
      <c r="W11" s="155">
        <v>21508545</v>
      </c>
      <c r="X11" s="155">
        <v>17515473</v>
      </c>
      <c r="Y11" s="155">
        <v>15140836</v>
      </c>
      <c r="Z11" s="155">
        <v>30681753</v>
      </c>
      <c r="AA11" s="155">
        <v>15564806</v>
      </c>
      <c r="AB11" s="155">
        <v>4213390</v>
      </c>
      <c r="AC11" s="155">
        <v>4635010</v>
      </c>
      <c r="AD11" s="155">
        <v>59315019</v>
      </c>
      <c r="AE11" s="155">
        <v>-204722</v>
      </c>
      <c r="AF11" s="155">
        <v>634812</v>
      </c>
      <c r="AG11" s="155">
        <v>2911626</v>
      </c>
      <c r="AH11" s="155">
        <v>5161469</v>
      </c>
      <c r="AI11" s="155">
        <v>6244941</v>
      </c>
      <c r="AJ11" s="155">
        <v>6195260</v>
      </c>
      <c r="AK11" s="155">
        <v>13461786</v>
      </c>
      <c r="AL11" s="155">
        <v>9148823</v>
      </c>
      <c r="AM11" s="155">
        <v>4166959</v>
      </c>
      <c r="AN11" s="155">
        <v>11594065</v>
      </c>
    </row>
    <row r="12" spans="1:40" x14ac:dyDescent="0.25">
      <c r="A12" s="118" t="s">
        <v>21</v>
      </c>
      <c r="B12" s="105">
        <f>'I. Current &amp; Projected Spending'!D16</f>
        <v>73895.15562734683</v>
      </c>
      <c r="C12" s="118"/>
      <c r="D12" s="209"/>
      <c r="E12" s="106" t="s">
        <v>11</v>
      </c>
      <c r="F12" s="154">
        <f t="shared" si="3"/>
        <v>0.14678890511451786</v>
      </c>
      <c r="G12" s="155">
        <f>VLOOKUP(UPPER($A$1),$R$8:$AN$59,8,FALSE)</f>
        <v>54084687</v>
      </c>
      <c r="H12" s="155">
        <f>VLOOKUP(UPPER($A$1),$R$8:$AN$59,19,FALSE)</f>
        <v>18042414</v>
      </c>
      <c r="I12" s="155">
        <f t="shared" si="0"/>
        <v>70432331.244958758</v>
      </c>
      <c r="J12" s="155">
        <f t="shared" si="1"/>
        <v>23495916.308190547</v>
      </c>
      <c r="K12" s="105">
        <f t="shared" si="4"/>
        <v>93928247.553149313</v>
      </c>
      <c r="L12" s="118">
        <v>87500</v>
      </c>
      <c r="M12" s="156">
        <f t="shared" si="2"/>
        <v>0.97966764665734118</v>
      </c>
      <c r="N12" s="155">
        <f t="shared" si="5"/>
        <v>92018465.235041946</v>
      </c>
      <c r="O12" s="155">
        <f t="shared" si="6"/>
        <v>69000276.199339062</v>
      </c>
      <c r="P12" s="155">
        <f t="shared" si="7"/>
        <v>23018189.035702877</v>
      </c>
      <c r="R12" s="122" t="s">
        <v>107</v>
      </c>
      <c r="S12" s="155">
        <v>46043904</v>
      </c>
      <c r="T12" s="155">
        <v>119631</v>
      </c>
      <c r="U12" s="155">
        <v>811792</v>
      </c>
      <c r="V12" s="155">
        <v>4328216</v>
      </c>
      <c r="W12" s="155">
        <v>8933981</v>
      </c>
      <c r="X12" s="155">
        <v>7505779</v>
      </c>
      <c r="Y12" s="155">
        <v>6139637</v>
      </c>
      <c r="Z12" s="155">
        <v>10797091</v>
      </c>
      <c r="AA12" s="155">
        <v>4841812</v>
      </c>
      <c r="AB12" s="155">
        <v>1411286</v>
      </c>
      <c r="AC12" s="155">
        <v>1154679</v>
      </c>
      <c r="AD12" s="155">
        <v>25079228</v>
      </c>
      <c r="AE12" s="155">
        <v>-179653</v>
      </c>
      <c r="AF12" s="155">
        <v>268209</v>
      </c>
      <c r="AG12" s="155">
        <v>1233269</v>
      </c>
      <c r="AH12" s="155">
        <v>2094110</v>
      </c>
      <c r="AI12" s="155">
        <v>2398100</v>
      </c>
      <c r="AJ12" s="155">
        <v>2215647</v>
      </c>
      <c r="AK12" s="155">
        <v>4223009</v>
      </c>
      <c r="AL12" s="155">
        <v>2816827</v>
      </c>
      <c r="AM12" s="155">
        <v>1327088</v>
      </c>
      <c r="AN12" s="155">
        <v>8682622</v>
      </c>
    </row>
    <row r="13" spans="1:40" x14ac:dyDescent="0.25">
      <c r="A13" s="118" t="s">
        <v>25</v>
      </c>
      <c r="B13" s="159">
        <f>'I. Current &amp; Projected Spending'!$D$18</f>
        <v>22184.387572602966</v>
      </c>
      <c r="C13" s="118"/>
      <c r="D13" s="209"/>
      <c r="E13" s="106" t="s">
        <v>12</v>
      </c>
      <c r="F13" s="154">
        <f t="shared" si="3"/>
        <v>0.14969890391663021</v>
      </c>
      <c r="G13" s="155">
        <f>VLOOKUP(UPPER($A$1),$R$8:$AN$59,9,FALSE)</f>
        <v>127486664</v>
      </c>
      <c r="H13" s="155">
        <f>VLOOKUP(UPPER($A$1),$R$8:$AN$59,20,FALSE)</f>
        <v>43273418</v>
      </c>
      <c r="I13" s="155">
        <f t="shared" si="0"/>
        <v>166020798.97703317</v>
      </c>
      <c r="J13" s="155">
        <f t="shared" si="1"/>
        <v>56353246.72725869</v>
      </c>
      <c r="K13" s="105">
        <f t="shared" si="4"/>
        <v>222374045.70429185</v>
      </c>
      <c r="L13" s="118">
        <v>150000</v>
      </c>
      <c r="M13" s="156">
        <f t="shared" si="2"/>
        <v>0.9990889488055994</v>
      </c>
      <c r="N13" s="155">
        <f t="shared" si="5"/>
        <v>222171451.56434926</v>
      </c>
      <c r="O13" s="155">
        <f t="shared" si="6"/>
        <v>165869545.5298298</v>
      </c>
      <c r="P13" s="155">
        <f t="shared" si="7"/>
        <v>56301906.034519471</v>
      </c>
      <c r="R13" s="122" t="s">
        <v>108</v>
      </c>
      <c r="S13" s="155">
        <v>950334958</v>
      </c>
      <c r="T13" s="155">
        <v>2327313</v>
      </c>
      <c r="U13" s="155">
        <v>9450085</v>
      </c>
      <c r="V13" s="155">
        <v>52050353</v>
      </c>
      <c r="W13" s="155">
        <v>121595555</v>
      </c>
      <c r="X13" s="155">
        <v>109703016</v>
      </c>
      <c r="Y13" s="155">
        <v>96186635</v>
      </c>
      <c r="Z13" s="155">
        <v>242858123</v>
      </c>
      <c r="AA13" s="155">
        <v>175814887</v>
      </c>
      <c r="AB13" s="155">
        <v>54251094</v>
      </c>
      <c r="AC13" s="155">
        <v>86097897</v>
      </c>
      <c r="AD13" s="155">
        <v>485769376</v>
      </c>
      <c r="AE13" s="155">
        <v>-1097962</v>
      </c>
      <c r="AF13" s="155">
        <v>4170413</v>
      </c>
      <c r="AG13" s="155">
        <v>16899976</v>
      </c>
      <c r="AH13" s="155">
        <v>27679558</v>
      </c>
      <c r="AI13" s="155">
        <v>31902519</v>
      </c>
      <c r="AJ13" s="155">
        <v>32378286</v>
      </c>
      <c r="AK13" s="155">
        <v>83401117</v>
      </c>
      <c r="AL13" s="155">
        <v>77462506</v>
      </c>
      <c r="AM13" s="155">
        <v>41303520</v>
      </c>
      <c r="AN13" s="155">
        <v>171669443</v>
      </c>
    </row>
    <row r="14" spans="1:40" ht="17.25" customHeight="1" x14ac:dyDescent="0.25">
      <c r="A14" s="107" t="s">
        <v>166</v>
      </c>
      <c r="B14" s="26">
        <f>IF('III. Added Costs &amp; Net Savings'!$I$63=2,0.33*'I. Current &amp; Projected Spending'!$D19,0)</f>
        <v>0</v>
      </c>
      <c r="D14" s="209"/>
      <c r="E14" s="106" t="s">
        <v>13</v>
      </c>
      <c r="F14" s="154">
        <f t="shared" si="3"/>
        <v>0.14982419703206576</v>
      </c>
      <c r="G14" s="155">
        <f>VLOOKUP(UPPER($A$1),$R$8:$AN$59,10,FALSE)</f>
        <v>82022795</v>
      </c>
      <c r="H14" s="155">
        <f>VLOOKUP(UPPER($A$1),$R$8:$AN$59,21,FALSE)</f>
        <v>36390320</v>
      </c>
      <c r="I14" s="155">
        <f t="shared" si="0"/>
        <v>106815015.25704211</v>
      </c>
      <c r="J14" s="155">
        <f t="shared" si="1"/>
        <v>47389662.666441016</v>
      </c>
      <c r="K14" s="105">
        <f t="shared" si="4"/>
        <v>154204677.92348313</v>
      </c>
      <c r="L14" s="118">
        <v>200000</v>
      </c>
      <c r="M14" s="156">
        <f t="shared" si="2"/>
        <v>0.99992515377248947</v>
      </c>
      <c r="N14" s="155">
        <f t="shared" si="5"/>
        <v>154193136.28507608</v>
      </c>
      <c r="O14" s="155">
        <f t="shared" si="6"/>
        <v>106807020.55610864</v>
      </c>
      <c r="P14" s="155">
        <f t="shared" si="7"/>
        <v>47386115.728967436</v>
      </c>
      <c r="R14" s="122" t="s">
        <v>109</v>
      </c>
      <c r="S14" s="155">
        <v>130372275</v>
      </c>
      <c r="T14" s="155">
        <v>328397</v>
      </c>
      <c r="U14" s="155">
        <v>1420252</v>
      </c>
      <c r="V14" s="155">
        <v>6776078</v>
      </c>
      <c r="W14" s="155">
        <v>18673978</v>
      </c>
      <c r="X14" s="155">
        <v>17606059</v>
      </c>
      <c r="Y14" s="155">
        <v>15811346</v>
      </c>
      <c r="Z14" s="155">
        <v>37249572</v>
      </c>
      <c r="AA14" s="155">
        <v>21055204</v>
      </c>
      <c r="AB14" s="155">
        <v>5511256</v>
      </c>
      <c r="AC14" s="155">
        <v>5940133</v>
      </c>
      <c r="AD14" s="155">
        <v>65568421</v>
      </c>
      <c r="AE14" s="155">
        <v>-364286</v>
      </c>
      <c r="AF14" s="155">
        <v>479406</v>
      </c>
      <c r="AG14" s="155">
        <v>2104583</v>
      </c>
      <c r="AH14" s="155">
        <v>4426395</v>
      </c>
      <c r="AI14" s="155">
        <v>5555839</v>
      </c>
      <c r="AJ14" s="155">
        <v>5706978</v>
      </c>
      <c r="AK14" s="155">
        <v>13881431</v>
      </c>
      <c r="AL14" s="155">
        <v>11753165</v>
      </c>
      <c r="AM14" s="155">
        <v>5685343</v>
      </c>
      <c r="AN14" s="155">
        <v>16339567</v>
      </c>
    </row>
    <row r="15" spans="1:40" x14ac:dyDescent="0.25">
      <c r="A15" s="122" t="s">
        <v>48</v>
      </c>
      <c r="C15" s="158">
        <f>-SUM(B11:B15)</f>
        <v>-157717.35296839097</v>
      </c>
      <c r="D15" s="209"/>
      <c r="E15" s="106" t="s">
        <v>14</v>
      </c>
      <c r="F15" s="154">
        <f t="shared" si="3"/>
        <v>0.14983541164737504</v>
      </c>
      <c r="G15" s="155">
        <f>VLOOKUP(UPPER($A$1),$R$8:$AN$59,11,FALSE)</f>
        <v>31339238</v>
      </c>
      <c r="H15" s="155">
        <f>VLOOKUP(UPPER($A$1),$R$8:$AN$59,22,FALSE)</f>
        <v>22058397</v>
      </c>
      <c r="I15" s="155">
        <f t="shared" si="0"/>
        <v>40811839.990505978</v>
      </c>
      <c r="J15" s="155">
        <f t="shared" si="1"/>
        <v>28725770.831156045</v>
      </c>
      <c r="K15" s="105">
        <f t="shared" si="4"/>
        <v>69537610.821662024</v>
      </c>
      <c r="L15" s="118">
        <v>750000</v>
      </c>
      <c r="M15" s="156">
        <f t="shared" si="2"/>
        <v>1</v>
      </c>
      <c r="N15" s="155">
        <f t="shared" si="5"/>
        <v>69537610.821662024</v>
      </c>
      <c r="O15" s="155">
        <f t="shared" si="6"/>
        <v>40811839.990505978</v>
      </c>
      <c r="P15" s="155">
        <f t="shared" si="7"/>
        <v>28725770.831156045</v>
      </c>
      <c r="R15" s="122" t="s">
        <v>110</v>
      </c>
      <c r="S15" s="155">
        <v>111714997</v>
      </c>
      <c r="T15" s="155">
        <v>185327</v>
      </c>
      <c r="U15" s="155">
        <v>942264</v>
      </c>
      <c r="V15" s="155">
        <v>3988221</v>
      </c>
      <c r="W15" s="155">
        <v>10715183</v>
      </c>
      <c r="X15" s="155">
        <v>11366327</v>
      </c>
      <c r="Y15" s="155">
        <v>10699483</v>
      </c>
      <c r="Z15" s="155">
        <v>28748889</v>
      </c>
      <c r="AA15" s="155">
        <v>20128252</v>
      </c>
      <c r="AB15" s="155">
        <v>8281975</v>
      </c>
      <c r="AC15" s="155">
        <v>16659076</v>
      </c>
      <c r="AD15" s="155">
        <v>63176526</v>
      </c>
      <c r="AE15" s="155">
        <v>-190193</v>
      </c>
      <c r="AF15" s="155">
        <v>391820</v>
      </c>
      <c r="AG15" s="155">
        <v>1513082</v>
      </c>
      <c r="AH15" s="155">
        <v>2993675</v>
      </c>
      <c r="AI15" s="155">
        <v>3845954</v>
      </c>
      <c r="AJ15" s="155">
        <v>4027151</v>
      </c>
      <c r="AK15" s="155">
        <v>10336608</v>
      </c>
      <c r="AL15" s="155">
        <v>9032302</v>
      </c>
      <c r="AM15" s="155">
        <v>5079139</v>
      </c>
      <c r="AN15" s="155">
        <v>26146988</v>
      </c>
    </row>
    <row r="16" spans="1:40" x14ac:dyDescent="0.25">
      <c r="A16" s="103" t="s">
        <v>204</v>
      </c>
      <c r="C16" s="110">
        <f>C8+C15+C9</f>
        <v>94496.797422542833</v>
      </c>
      <c r="D16" s="209"/>
      <c r="E16" s="106" t="s">
        <v>15</v>
      </c>
      <c r="F16" s="154">
        <f t="shared" si="3"/>
        <v>0.14983541164737504</v>
      </c>
      <c r="G16" s="160">
        <f>VLOOKUP(UPPER($A$1),$R$8:$AN$59,12,FALSE)</f>
        <v>64013113</v>
      </c>
      <c r="H16" s="161">
        <f>VLOOKUP(UPPER($A$1),$R$8:$AN$59,23,FALSE)</f>
        <v>137379124</v>
      </c>
      <c r="I16" s="161">
        <f t="shared" si="0"/>
        <v>83361724.527258068</v>
      </c>
      <c r="J16" s="161">
        <f t="shared" si="1"/>
        <v>178903355.17168221</v>
      </c>
      <c r="K16" s="159">
        <f t="shared" si="4"/>
        <v>262265079.69894028</v>
      </c>
      <c r="L16" s="118">
        <v>1500000</v>
      </c>
      <c r="M16" s="156">
        <f t="shared" si="2"/>
        <v>1</v>
      </c>
      <c r="N16" s="161">
        <f t="shared" si="5"/>
        <v>262265079.69894028</v>
      </c>
      <c r="O16" s="161">
        <f t="shared" si="6"/>
        <v>83361724.527258068</v>
      </c>
      <c r="P16" s="161">
        <f t="shared" si="6"/>
        <v>178903355.17168221</v>
      </c>
      <c r="R16" s="122" t="s">
        <v>111</v>
      </c>
      <c r="S16" s="155">
        <v>20032968</v>
      </c>
      <c r="T16" s="155">
        <v>31302</v>
      </c>
      <c r="U16" s="155">
        <v>262499</v>
      </c>
      <c r="V16" s="155">
        <v>1231581</v>
      </c>
      <c r="W16" s="155">
        <v>3069097</v>
      </c>
      <c r="X16" s="155">
        <v>2865604</v>
      </c>
      <c r="Y16" s="155">
        <v>2605090</v>
      </c>
      <c r="Z16" s="155">
        <v>5948377</v>
      </c>
      <c r="AA16" s="155">
        <v>2670583</v>
      </c>
      <c r="AB16" s="155">
        <v>662131</v>
      </c>
      <c r="AC16" s="155">
        <v>686704</v>
      </c>
      <c r="AD16" s="155">
        <v>9816464</v>
      </c>
      <c r="AE16" s="155">
        <v>-20519</v>
      </c>
      <c r="AF16" s="155">
        <v>83698</v>
      </c>
      <c r="AG16" s="155">
        <v>416588</v>
      </c>
      <c r="AH16" s="155">
        <v>872166</v>
      </c>
      <c r="AI16" s="155">
        <v>1110233</v>
      </c>
      <c r="AJ16" s="155">
        <v>1120266</v>
      </c>
      <c r="AK16" s="155">
        <v>2440507</v>
      </c>
      <c r="AL16" s="155">
        <v>1500914</v>
      </c>
      <c r="AM16" s="155">
        <v>633321</v>
      </c>
      <c r="AN16" s="155">
        <v>1659290</v>
      </c>
    </row>
    <row r="17" spans="1:40" x14ac:dyDescent="0.25">
      <c r="A17" s="118"/>
      <c r="B17" s="115"/>
      <c r="C17" s="118"/>
      <c r="D17" s="209"/>
      <c r="E17" s="162" t="s">
        <v>16</v>
      </c>
      <c r="G17" s="163">
        <f>SUM(G7:G16)</f>
        <v>516838658</v>
      </c>
      <c r="H17" s="163">
        <f>SUM(H7:H16)</f>
        <v>300745017</v>
      </c>
      <c r="I17" s="155">
        <f>SUM(I6:I16)</f>
        <v>673060396.29310191</v>
      </c>
      <c r="J17" s="155">
        <f>SUM(J6:J16)</f>
        <v>391650264.38568795</v>
      </c>
      <c r="K17" s="105"/>
      <c r="L17" s="111"/>
      <c r="N17" s="164">
        <f>SUM(N7:N16)</f>
        <v>1010289770.70482</v>
      </c>
      <c r="O17" s="164">
        <f>SUM(O7:O16)</f>
        <v>630670656.4462415</v>
      </c>
      <c r="P17" s="164">
        <f>SUM(P7:P16)</f>
        <v>379619114.25857854</v>
      </c>
      <c r="R17" s="122" t="s">
        <v>112</v>
      </c>
      <c r="S17" s="155">
        <v>22124736</v>
      </c>
      <c r="T17" s="155">
        <v>42753</v>
      </c>
      <c r="U17" s="155">
        <v>159048</v>
      </c>
      <c r="V17" s="155">
        <v>820754</v>
      </c>
      <c r="W17" s="155">
        <v>2574658</v>
      </c>
      <c r="X17" s="155">
        <v>2915517</v>
      </c>
      <c r="Y17" s="155">
        <v>2424862</v>
      </c>
      <c r="Z17" s="155">
        <v>5461435</v>
      </c>
      <c r="AA17" s="155">
        <v>4756199</v>
      </c>
      <c r="AB17" s="155">
        <v>1298995</v>
      </c>
      <c r="AC17" s="155">
        <v>1670515</v>
      </c>
      <c r="AD17" s="155">
        <v>11352069</v>
      </c>
      <c r="AE17" s="155">
        <v>-16950</v>
      </c>
      <c r="AF17" s="155">
        <v>61952</v>
      </c>
      <c r="AG17" s="155">
        <v>229917</v>
      </c>
      <c r="AH17" s="155">
        <v>454699</v>
      </c>
      <c r="AI17" s="155">
        <v>535176</v>
      </c>
      <c r="AJ17" s="155">
        <v>490972</v>
      </c>
      <c r="AK17" s="155">
        <v>1434581</v>
      </c>
      <c r="AL17" s="155">
        <v>2013599</v>
      </c>
      <c r="AM17" s="155">
        <v>1346471</v>
      </c>
      <c r="AN17" s="155">
        <v>4801652</v>
      </c>
    </row>
    <row r="18" spans="1:40" ht="18" customHeight="1" x14ac:dyDescent="0.25">
      <c r="A18" s="240" t="s">
        <v>209</v>
      </c>
      <c r="B18" s="250"/>
      <c r="C18" s="97" t="s">
        <v>229</v>
      </c>
      <c r="E18" s="118"/>
      <c r="F18" s="165"/>
      <c r="L18" s="118"/>
      <c r="M18" s="167" t="s">
        <v>53</v>
      </c>
      <c r="N18" s="168">
        <f>$C$16/N$17*1000</f>
        <v>9.3534350403862793E-2</v>
      </c>
      <c r="O18" s="168">
        <f>$C$16/O$17*1000</f>
        <v>0.14983541164737504</v>
      </c>
      <c r="P18" s="378">
        <f>$N18</f>
        <v>9.3534350403862793E-2</v>
      </c>
      <c r="R18" s="122" t="s">
        <v>113</v>
      </c>
      <c r="S18" s="155">
        <v>377515978</v>
      </c>
      <c r="T18" s="155">
        <v>1514097</v>
      </c>
      <c r="U18" s="155">
        <v>5666829</v>
      </c>
      <c r="V18" s="155">
        <v>33135794</v>
      </c>
      <c r="W18" s="155">
        <v>68418825</v>
      </c>
      <c r="X18" s="155">
        <v>52351405</v>
      </c>
      <c r="Y18" s="155">
        <v>42039641</v>
      </c>
      <c r="Z18" s="155">
        <v>83820456</v>
      </c>
      <c r="AA18" s="155">
        <v>46878297</v>
      </c>
      <c r="AB18" s="155">
        <v>16560189</v>
      </c>
      <c r="AC18" s="155">
        <v>27130445</v>
      </c>
      <c r="AD18" s="155">
        <v>195304652</v>
      </c>
      <c r="AE18" s="155">
        <v>275001954</v>
      </c>
      <c r="AF18" s="155">
        <v>-1165157</v>
      </c>
      <c r="AG18" s="155">
        <v>2689156</v>
      </c>
      <c r="AH18" s="155">
        <v>10700401</v>
      </c>
      <c r="AI18" s="155">
        <v>16838702</v>
      </c>
      <c r="AJ18" s="155">
        <v>20588173</v>
      </c>
      <c r="AK18" s="155">
        <v>20351984</v>
      </c>
      <c r="AL18" s="155">
        <v>46054256</v>
      </c>
      <c r="AM18" s="155">
        <v>38173753</v>
      </c>
      <c r="AN18" s="155">
        <v>21543040</v>
      </c>
    </row>
    <row r="19" spans="1:40" ht="15.75" customHeight="1" x14ac:dyDescent="0.25">
      <c r="E19" s="118"/>
      <c r="F19" s="118"/>
      <c r="L19" s="111"/>
      <c r="M19" s="170" t="s">
        <v>71</v>
      </c>
      <c r="N19" s="171">
        <f>$C16*1000</f>
        <v>94496797.42254284</v>
      </c>
      <c r="O19" s="171">
        <f>$C16*1000</f>
        <v>94496797.42254284</v>
      </c>
      <c r="P19" s="379">
        <f>P18*P17</f>
        <v>35507427.253065914</v>
      </c>
      <c r="R19" s="122" t="s">
        <v>114</v>
      </c>
      <c r="S19" s="155">
        <v>99227646</v>
      </c>
      <c r="T19" s="155">
        <v>525230</v>
      </c>
      <c r="U19" s="155">
        <v>2930706</v>
      </c>
      <c r="V19" s="155">
        <v>15776004</v>
      </c>
      <c r="W19" s="155">
        <v>31923254</v>
      </c>
      <c r="X19" s="155">
        <v>26753758</v>
      </c>
      <c r="Y19" s="155">
        <v>22557604</v>
      </c>
      <c r="Z19" s="155">
        <v>49268015</v>
      </c>
      <c r="AA19" s="155">
        <v>28237614</v>
      </c>
      <c r="AB19" s="155">
        <v>8134235</v>
      </c>
      <c r="AC19" s="155">
        <v>9198232</v>
      </c>
      <c r="AD19" s="155">
        <v>83444805</v>
      </c>
      <c r="AE19" s="155">
        <v>-432861</v>
      </c>
      <c r="AF19" s="155">
        <v>957680</v>
      </c>
      <c r="AG19" s="155">
        <v>3948494</v>
      </c>
      <c r="AH19" s="155">
        <v>6093551</v>
      </c>
      <c r="AI19" s="155">
        <v>7626194</v>
      </c>
      <c r="AJ19" s="155">
        <v>7460219</v>
      </c>
      <c r="AK19" s="155">
        <v>16984206</v>
      </c>
      <c r="AL19" s="155">
        <v>13285540</v>
      </c>
      <c r="AM19" s="155">
        <v>7207209</v>
      </c>
      <c r="AN19" s="155">
        <v>20314573</v>
      </c>
    </row>
    <row r="20" spans="1:40" ht="19.5" x14ac:dyDescent="0.3">
      <c r="A20" s="194" t="s">
        <v>341</v>
      </c>
      <c r="B20" s="277">
        <v>4.4999999999999998E-2</v>
      </c>
      <c r="E20" s="118"/>
      <c r="F20" s="118"/>
      <c r="L20" s="118"/>
      <c r="M20" s="194" t="s">
        <v>210</v>
      </c>
      <c r="N20" s="195">
        <v>2</v>
      </c>
      <c r="O20" s="111"/>
      <c r="R20" s="122" t="s">
        <v>115</v>
      </c>
      <c r="S20" s="155">
        <v>29216879</v>
      </c>
      <c r="T20" s="155">
        <v>64112</v>
      </c>
      <c r="U20" s="155">
        <v>348795</v>
      </c>
      <c r="V20" s="155">
        <v>1793529</v>
      </c>
      <c r="W20" s="155">
        <v>5402351</v>
      </c>
      <c r="X20" s="155">
        <v>4654441</v>
      </c>
      <c r="Y20" s="155">
        <v>4083426</v>
      </c>
      <c r="Z20" s="155">
        <v>8451487</v>
      </c>
      <c r="AA20" s="155">
        <v>3085669</v>
      </c>
      <c r="AB20" s="155">
        <v>682996</v>
      </c>
      <c r="AC20" s="155">
        <v>650073</v>
      </c>
      <c r="AD20" s="155">
        <v>14117978</v>
      </c>
      <c r="AE20" s="155">
        <v>-36817</v>
      </c>
      <c r="AF20" s="155">
        <v>151596</v>
      </c>
      <c r="AG20" s="155">
        <v>545575</v>
      </c>
      <c r="AH20" s="155">
        <v>1162420</v>
      </c>
      <c r="AI20" s="155">
        <v>1553863</v>
      </c>
      <c r="AJ20" s="155">
        <v>1579229</v>
      </c>
      <c r="AK20" s="155">
        <v>3649358</v>
      </c>
      <c r="AL20" s="155">
        <v>2490268</v>
      </c>
      <c r="AM20" s="155">
        <v>923240</v>
      </c>
      <c r="AN20" s="155">
        <v>2099246</v>
      </c>
    </row>
    <row r="21" spans="1:40" ht="18.75" x14ac:dyDescent="0.3">
      <c r="E21" s="118"/>
      <c r="F21" s="118"/>
      <c r="I21" s="114" t="s">
        <v>52</v>
      </c>
      <c r="J21" s="166">
        <v>20000</v>
      </c>
      <c r="K21" s="174"/>
      <c r="L21" s="118"/>
      <c r="M21" s="115"/>
      <c r="N21" s="118"/>
      <c r="O21" s="111"/>
      <c r="R21" s="122" t="s">
        <v>116</v>
      </c>
      <c r="S21" s="155">
        <v>27218987</v>
      </c>
      <c r="T21" s="155">
        <v>83324</v>
      </c>
      <c r="U21" s="155">
        <v>451322</v>
      </c>
      <c r="V21" s="155">
        <v>2183740</v>
      </c>
      <c r="W21" s="155">
        <v>5194974</v>
      </c>
      <c r="X21" s="155">
        <v>4817167</v>
      </c>
      <c r="Y21" s="155">
        <v>4133339</v>
      </c>
      <c r="Z21" s="155">
        <v>6622963</v>
      </c>
      <c r="AA21" s="155">
        <v>2467507</v>
      </c>
      <c r="AB21" s="155">
        <v>681984</v>
      </c>
      <c r="AC21" s="155">
        <v>582667</v>
      </c>
      <c r="AD21" s="155">
        <v>14348597</v>
      </c>
      <c r="AE21" s="155">
        <v>-38673</v>
      </c>
      <c r="AF21" s="155">
        <v>149562</v>
      </c>
      <c r="AG21" s="155">
        <v>690372</v>
      </c>
      <c r="AH21" s="155">
        <v>1443979</v>
      </c>
      <c r="AI21" s="155">
        <v>1671613</v>
      </c>
      <c r="AJ21" s="155">
        <v>1556712</v>
      </c>
      <c r="AK21" s="155">
        <v>3025776</v>
      </c>
      <c r="AL21" s="155">
        <v>2154950</v>
      </c>
      <c r="AM21" s="155">
        <v>1049720</v>
      </c>
      <c r="AN21" s="155">
        <v>2644586</v>
      </c>
    </row>
    <row r="22" spans="1:40" ht="18.75" x14ac:dyDescent="0.3">
      <c r="A22" s="172" t="s">
        <v>41</v>
      </c>
      <c r="B22" s="173">
        <v>2014</v>
      </c>
      <c r="C22" s="130" t="s">
        <v>18</v>
      </c>
      <c r="D22" s="130">
        <f>'I. Current &amp; Projected Spending'!D$5</f>
        <v>2021</v>
      </c>
      <c r="E22" s="118"/>
      <c r="F22" s="118"/>
      <c r="I22" s="114" t="s">
        <v>51</v>
      </c>
      <c r="J22" s="169">
        <v>0.5</v>
      </c>
      <c r="K22" s="174"/>
      <c r="L22" s="118"/>
      <c r="M22" s="115"/>
      <c r="N22" s="118"/>
      <c r="O22" s="111"/>
      <c r="R22" s="122" t="s">
        <v>117</v>
      </c>
      <c r="S22" s="155">
        <v>307574609</v>
      </c>
      <c r="T22" s="155">
        <v>659700</v>
      </c>
      <c r="U22" s="155">
        <v>3603298</v>
      </c>
      <c r="V22" s="155">
        <v>16801189</v>
      </c>
      <c r="W22" s="155">
        <v>40913992</v>
      </c>
      <c r="X22" s="155">
        <v>40199009</v>
      </c>
      <c r="Y22" s="155">
        <v>36844758</v>
      </c>
      <c r="Z22" s="155">
        <v>84390706</v>
      </c>
      <c r="AA22" s="155">
        <v>48737928</v>
      </c>
      <c r="AB22" s="155">
        <v>15648645</v>
      </c>
      <c r="AC22" s="155">
        <v>19775384</v>
      </c>
      <c r="AD22" s="155">
        <v>147823274</v>
      </c>
      <c r="AE22" s="155">
        <v>-478746</v>
      </c>
      <c r="AF22" s="155">
        <v>1394686</v>
      </c>
      <c r="AG22" s="155">
        <v>5705602</v>
      </c>
      <c r="AH22" s="155">
        <v>10011328</v>
      </c>
      <c r="AI22" s="155">
        <v>12271121</v>
      </c>
      <c r="AJ22" s="155">
        <v>12413562</v>
      </c>
      <c r="AK22" s="155">
        <v>28410710</v>
      </c>
      <c r="AL22" s="155">
        <v>21630658</v>
      </c>
      <c r="AM22" s="155">
        <v>11735231</v>
      </c>
      <c r="AN22" s="155">
        <v>44729122</v>
      </c>
    </row>
    <row r="23" spans="1:40" ht="18.75" x14ac:dyDescent="0.25">
      <c r="A23" s="118" t="s">
        <v>167</v>
      </c>
      <c r="B23" s="144">
        <f>VLOOKUP($A$1,'I. Current &amp; Projected Spending'!$AJ$6:'I. Current &amp; Projected Spending'!$AL$57,2,FALSE)*1000</f>
        <v>3278000</v>
      </c>
      <c r="C23" s="109">
        <f>VLOOKUP($A$1,'I. Current &amp; Projected Spending'!$AJ$6:'I. Current &amp; Projected Spending'!$AL$57,3,FALSE)/100</f>
        <v>1.1000000000000001E-2</v>
      </c>
      <c r="D23" s="144">
        <f>B23*(1+C23)^(D$22-B$22)</f>
        <v>3538889.7945190715</v>
      </c>
      <c r="E23" s="118"/>
      <c r="F23" s="118"/>
      <c r="K23" s="174"/>
      <c r="L23" s="118"/>
      <c r="M23" s="115"/>
      <c r="N23" s="118"/>
      <c r="O23" s="111"/>
      <c r="R23" s="122" t="s">
        <v>118</v>
      </c>
      <c r="S23" s="155">
        <v>126995885</v>
      </c>
      <c r="T23" s="155">
        <v>213769</v>
      </c>
      <c r="U23" s="155">
        <v>1986562</v>
      </c>
      <c r="V23" s="155">
        <v>8755051</v>
      </c>
      <c r="W23" s="155">
        <v>22213282</v>
      </c>
      <c r="X23" s="155">
        <v>20825095</v>
      </c>
      <c r="Y23" s="155">
        <v>19029397</v>
      </c>
      <c r="Z23" s="155">
        <v>34185055</v>
      </c>
      <c r="AA23" s="155">
        <v>12706548</v>
      </c>
      <c r="AB23" s="155">
        <v>3665991</v>
      </c>
      <c r="AC23" s="155">
        <v>3415135</v>
      </c>
      <c r="AD23" s="155">
        <v>50752207</v>
      </c>
      <c r="AE23" s="155">
        <v>-287138</v>
      </c>
      <c r="AF23" s="155">
        <v>786914</v>
      </c>
      <c r="AG23" s="155">
        <v>2949250</v>
      </c>
      <c r="AH23" s="155">
        <v>5160431</v>
      </c>
      <c r="AI23" s="155">
        <v>5751328</v>
      </c>
      <c r="AJ23" s="155">
        <v>5398852</v>
      </c>
      <c r="AK23" s="155">
        <v>10088271</v>
      </c>
      <c r="AL23" s="155">
        <v>7311153</v>
      </c>
      <c r="AM23" s="155">
        <v>3834578</v>
      </c>
      <c r="AN23" s="155">
        <v>9758568</v>
      </c>
    </row>
    <row r="24" spans="1:40" ht="18.75" x14ac:dyDescent="0.3">
      <c r="A24" s="118" t="s">
        <v>42</v>
      </c>
      <c r="B24" s="175">
        <f>12*105</f>
        <v>1260</v>
      </c>
      <c r="C24" s="109">
        <f>VLOOKUP($A$1,'I. Current &amp; Projected Spending'!$AB$6:'I. Current &amp; Projected Spending'!$AD$57,3,FALSE)/100-C23</f>
        <v>5.2999999999999999E-2</v>
      </c>
      <c r="D24" s="176">
        <f>B24*(1+C24)^(D$22-B$22)</f>
        <v>1808.7108483346453</v>
      </c>
      <c r="E24" s="118"/>
      <c r="F24" s="118"/>
      <c r="L24" s="118"/>
      <c r="M24" s="115"/>
      <c r="N24" s="118"/>
      <c r="O24" s="111"/>
      <c r="R24" s="122" t="s">
        <v>119</v>
      </c>
      <c r="S24" s="155">
        <v>62286363</v>
      </c>
      <c r="T24" s="155">
        <v>167652</v>
      </c>
      <c r="U24" s="155">
        <v>864196</v>
      </c>
      <c r="V24" s="155">
        <v>3675751</v>
      </c>
      <c r="W24" s="155">
        <v>10498922</v>
      </c>
      <c r="X24" s="155">
        <v>10227052</v>
      </c>
      <c r="Y24" s="155">
        <v>9700330</v>
      </c>
      <c r="Z24" s="155">
        <v>17597145</v>
      </c>
      <c r="AA24" s="155">
        <v>6320204</v>
      </c>
      <c r="AB24" s="155">
        <v>1842679</v>
      </c>
      <c r="AC24" s="155">
        <v>1392432</v>
      </c>
      <c r="AD24" s="155">
        <v>26831262</v>
      </c>
      <c r="AE24" s="155">
        <v>-90948</v>
      </c>
      <c r="AF24" s="155">
        <v>243119</v>
      </c>
      <c r="AG24" s="155">
        <v>1248948</v>
      </c>
      <c r="AH24" s="155">
        <v>2684612</v>
      </c>
      <c r="AI24" s="155">
        <v>3245783</v>
      </c>
      <c r="AJ24" s="155">
        <v>3159860</v>
      </c>
      <c r="AK24" s="155">
        <v>6073957</v>
      </c>
      <c r="AL24" s="155">
        <v>4144008</v>
      </c>
      <c r="AM24" s="155">
        <v>1908087</v>
      </c>
      <c r="AN24" s="155">
        <v>4213836</v>
      </c>
    </row>
    <row r="25" spans="1:40" ht="15.75" customHeight="1" x14ac:dyDescent="0.3">
      <c r="A25" s="177" t="str">
        <f>CONCATENATE("Total Medicare Part B Premiums ($",'I. Current &amp; Projected Spending'!D$5,"M)")</f>
        <v>Total Medicare Part B Premiums ($2021M)</v>
      </c>
      <c r="B25" s="105">
        <f>B24*B23/1000000</f>
        <v>4130.28</v>
      </c>
      <c r="C25" s="109">
        <f>SUM(C23:C24)</f>
        <v>6.4000000000000001E-2</v>
      </c>
      <c r="D25" s="178">
        <f>B25*(1+C25)^(D$22-B$22)</f>
        <v>6376.3315366026445</v>
      </c>
      <c r="E25" s="118"/>
      <c r="F25" s="118"/>
      <c r="L25" s="118"/>
      <c r="M25" s="115"/>
      <c r="N25" s="118"/>
      <c r="O25" s="111"/>
      <c r="R25" s="122" t="s">
        <v>120</v>
      </c>
      <c r="S25" s="155">
        <v>58433144</v>
      </c>
      <c r="T25" s="155">
        <v>145102</v>
      </c>
      <c r="U25" s="155">
        <v>810575</v>
      </c>
      <c r="V25" s="155">
        <v>3638668</v>
      </c>
      <c r="W25" s="155">
        <v>9541688</v>
      </c>
      <c r="X25" s="155">
        <v>8924055</v>
      </c>
      <c r="Y25" s="155">
        <v>8173617</v>
      </c>
      <c r="Z25" s="155">
        <v>15995170</v>
      </c>
      <c r="AA25" s="155">
        <v>7113525</v>
      </c>
      <c r="AB25" s="155">
        <v>2194285</v>
      </c>
      <c r="AC25" s="155">
        <v>1896459</v>
      </c>
      <c r="AD25" s="155">
        <v>27954720</v>
      </c>
      <c r="AE25" s="155">
        <v>-219549</v>
      </c>
      <c r="AF25" s="155">
        <v>275389</v>
      </c>
      <c r="AG25" s="155">
        <v>1117890</v>
      </c>
      <c r="AH25" s="155">
        <v>2286498</v>
      </c>
      <c r="AI25" s="155">
        <v>2801304</v>
      </c>
      <c r="AJ25" s="155">
        <v>2715085</v>
      </c>
      <c r="AK25" s="155">
        <v>5648014</v>
      </c>
      <c r="AL25" s="155">
        <v>4256989</v>
      </c>
      <c r="AM25" s="155">
        <v>2136284</v>
      </c>
      <c r="AN25" s="155">
        <v>6936816</v>
      </c>
    </row>
    <row r="26" spans="1:40" ht="19.5" customHeight="1" x14ac:dyDescent="0.25">
      <c r="E26" s="118"/>
      <c r="F26" s="118"/>
      <c r="L26" s="118"/>
      <c r="M26" s="115"/>
      <c r="N26" s="118"/>
      <c r="O26" s="111"/>
      <c r="R26" s="122" t="s">
        <v>121</v>
      </c>
      <c r="S26" s="155">
        <v>74374978</v>
      </c>
      <c r="T26" s="155">
        <v>153255</v>
      </c>
      <c r="U26" s="155">
        <v>1297337</v>
      </c>
      <c r="V26" s="155">
        <v>5984602</v>
      </c>
      <c r="W26" s="155">
        <v>13809796</v>
      </c>
      <c r="X26" s="155">
        <v>12321056</v>
      </c>
      <c r="Y26" s="155">
        <v>10823079</v>
      </c>
      <c r="Z26" s="155">
        <v>18683988</v>
      </c>
      <c r="AA26" s="155">
        <v>7300845</v>
      </c>
      <c r="AB26" s="155">
        <v>2117501</v>
      </c>
      <c r="AC26" s="155">
        <v>1883519</v>
      </c>
      <c r="AD26" s="155">
        <v>32134082</v>
      </c>
      <c r="AE26" s="155">
        <v>-185071</v>
      </c>
      <c r="AF26" s="155">
        <v>409864</v>
      </c>
      <c r="AG26" s="155">
        <v>1872611</v>
      </c>
      <c r="AH26" s="155">
        <v>3435229</v>
      </c>
      <c r="AI26" s="155">
        <v>3877826</v>
      </c>
      <c r="AJ26" s="155">
        <v>3593035</v>
      </c>
      <c r="AK26" s="155">
        <v>6714940</v>
      </c>
      <c r="AL26" s="155">
        <v>4634677</v>
      </c>
      <c r="AM26" s="155">
        <v>2147245</v>
      </c>
      <c r="AN26" s="155">
        <v>5633726</v>
      </c>
    </row>
    <row r="27" spans="1:40" ht="33" customHeight="1" x14ac:dyDescent="0.25">
      <c r="A27" s="122" t="s">
        <v>87</v>
      </c>
      <c r="B27" s="218"/>
      <c r="C27" s="118"/>
      <c r="D27" s="118"/>
      <c r="E27" s="118"/>
      <c r="F27" s="118"/>
      <c r="L27" s="118"/>
      <c r="M27" s="115"/>
      <c r="N27" s="118"/>
      <c r="O27" s="111"/>
      <c r="R27" s="122" t="s">
        <v>122</v>
      </c>
      <c r="S27" s="155">
        <v>81797004</v>
      </c>
      <c r="T27" s="155">
        <v>225405</v>
      </c>
      <c r="U27" s="155">
        <v>1281098</v>
      </c>
      <c r="V27" s="155">
        <v>7297941</v>
      </c>
      <c r="W27" s="155">
        <v>14119611</v>
      </c>
      <c r="X27" s="155">
        <v>12113862</v>
      </c>
      <c r="Y27" s="155">
        <v>10614092</v>
      </c>
      <c r="Z27" s="155">
        <v>22598441</v>
      </c>
      <c r="AA27" s="155">
        <v>9112782</v>
      </c>
      <c r="AB27" s="155">
        <v>2390948</v>
      </c>
      <c r="AC27" s="155">
        <v>2042824</v>
      </c>
      <c r="AD27" s="155">
        <v>33935483</v>
      </c>
      <c r="AE27" s="155">
        <v>-794624</v>
      </c>
      <c r="AF27" s="155">
        <v>390429</v>
      </c>
      <c r="AG27" s="155">
        <v>1811044</v>
      </c>
      <c r="AH27" s="155">
        <v>2938025</v>
      </c>
      <c r="AI27" s="155">
        <v>3329153</v>
      </c>
      <c r="AJ27" s="155">
        <v>3086249</v>
      </c>
      <c r="AK27" s="155">
        <v>6681035</v>
      </c>
      <c r="AL27" s="155">
        <v>5852904</v>
      </c>
      <c r="AM27" s="155">
        <v>3079891</v>
      </c>
      <c r="AN27" s="155">
        <v>7561377</v>
      </c>
    </row>
    <row r="28" spans="1:40" ht="20.25" customHeight="1" x14ac:dyDescent="0.25">
      <c r="A28" s="321" t="s">
        <v>86</v>
      </c>
      <c r="B28" s="317"/>
      <c r="C28" s="317"/>
      <c r="D28" s="317"/>
      <c r="E28" s="179"/>
      <c r="F28" s="118"/>
      <c r="L28" s="118"/>
      <c r="M28" s="115"/>
      <c r="N28" s="118"/>
      <c r="O28" s="111"/>
      <c r="R28" s="122" t="s">
        <v>63</v>
      </c>
      <c r="S28" s="155">
        <v>24948318</v>
      </c>
      <c r="T28" s="155">
        <v>48132</v>
      </c>
      <c r="U28" s="155">
        <v>384075</v>
      </c>
      <c r="V28" s="155">
        <v>1795325</v>
      </c>
      <c r="W28" s="155">
        <v>4586220</v>
      </c>
      <c r="X28" s="155">
        <v>4269461</v>
      </c>
      <c r="Y28" s="155">
        <v>3743451</v>
      </c>
      <c r="Z28" s="155">
        <v>6391845</v>
      </c>
      <c r="AA28" s="155">
        <v>2642306</v>
      </c>
      <c r="AB28" s="155">
        <v>668215</v>
      </c>
      <c r="AC28" s="155">
        <v>419288</v>
      </c>
      <c r="AD28" s="155">
        <v>12021111</v>
      </c>
      <c r="AE28" s="155">
        <v>-45490</v>
      </c>
      <c r="AF28" s="155">
        <v>142147</v>
      </c>
      <c r="AG28" s="155">
        <v>693719</v>
      </c>
      <c r="AH28" s="155">
        <v>1429138</v>
      </c>
      <c r="AI28" s="155">
        <v>1592143</v>
      </c>
      <c r="AJ28" s="155">
        <v>1430349</v>
      </c>
      <c r="AK28" s="155">
        <v>2713643</v>
      </c>
      <c r="AL28" s="155">
        <v>1902707</v>
      </c>
      <c r="AM28" s="155">
        <v>792363</v>
      </c>
      <c r="AN28" s="155">
        <v>1370392</v>
      </c>
    </row>
    <row r="29" spans="1:40" ht="67.5" customHeight="1" x14ac:dyDescent="0.25">
      <c r="A29" s="352" t="s">
        <v>311</v>
      </c>
      <c r="B29" s="317"/>
      <c r="C29" s="317"/>
      <c r="D29" s="317"/>
      <c r="E29" s="118"/>
      <c r="F29" s="118"/>
      <c r="L29" s="118"/>
      <c r="M29" s="115"/>
      <c r="N29" s="118"/>
      <c r="O29" s="111"/>
      <c r="R29" s="122" t="s">
        <v>123</v>
      </c>
      <c r="S29" s="155">
        <v>161220841</v>
      </c>
      <c r="T29" s="155">
        <v>269286</v>
      </c>
      <c r="U29" s="155">
        <v>1553211</v>
      </c>
      <c r="V29" s="155">
        <v>7041427</v>
      </c>
      <c r="W29" s="155">
        <v>19490105</v>
      </c>
      <c r="X29" s="155">
        <v>19939575</v>
      </c>
      <c r="Y29" s="155">
        <v>18964437</v>
      </c>
      <c r="Z29" s="155">
        <v>50963502</v>
      </c>
      <c r="AA29" s="155">
        <v>29792760</v>
      </c>
      <c r="AB29" s="155">
        <v>6791078</v>
      </c>
      <c r="AC29" s="155">
        <v>6415460</v>
      </c>
      <c r="AD29" s="155">
        <v>67776239</v>
      </c>
      <c r="AE29" s="155">
        <v>-328689</v>
      </c>
      <c r="AF29" s="155">
        <v>621001</v>
      </c>
      <c r="AG29" s="155">
        <v>2296620</v>
      </c>
      <c r="AH29" s="155">
        <v>4271217</v>
      </c>
      <c r="AI29" s="155">
        <v>5765364</v>
      </c>
      <c r="AJ29" s="155">
        <v>6052273</v>
      </c>
      <c r="AK29" s="155">
        <v>15918127</v>
      </c>
      <c r="AL29" s="155">
        <v>12531814</v>
      </c>
      <c r="AM29" s="155">
        <v>5774615</v>
      </c>
      <c r="AN29" s="155">
        <v>14873897</v>
      </c>
    </row>
    <row r="30" spans="1:40" ht="18" customHeight="1" x14ac:dyDescent="0.25">
      <c r="A30" s="191" t="s">
        <v>168</v>
      </c>
      <c r="B30" s="192"/>
      <c r="C30" s="192"/>
      <c r="D30" s="192"/>
      <c r="E30" s="118"/>
      <c r="F30" s="118"/>
      <c r="L30" s="118"/>
      <c r="M30" s="115"/>
      <c r="N30" s="118"/>
      <c r="O30" s="111"/>
      <c r="R30" s="122" t="s">
        <v>124</v>
      </c>
      <c r="S30" s="155">
        <v>204468577</v>
      </c>
      <c r="T30" s="155">
        <v>288712</v>
      </c>
      <c r="U30" s="155">
        <v>1894490</v>
      </c>
      <c r="V30" s="155">
        <v>7500221</v>
      </c>
      <c r="W30" s="155">
        <v>21941791</v>
      </c>
      <c r="X30" s="155">
        <v>22697404</v>
      </c>
      <c r="Y30" s="155">
        <v>20553350</v>
      </c>
      <c r="Z30" s="155">
        <v>57475842</v>
      </c>
      <c r="AA30" s="155">
        <v>41098728</v>
      </c>
      <c r="AB30" s="155">
        <v>12739193</v>
      </c>
      <c r="AC30" s="155">
        <v>18278846</v>
      </c>
      <c r="AD30" s="155">
        <v>103768317</v>
      </c>
      <c r="AE30" s="155">
        <v>-348040</v>
      </c>
      <c r="AF30" s="155">
        <v>695768</v>
      </c>
      <c r="AG30" s="155">
        <v>2747241</v>
      </c>
      <c r="AH30" s="155">
        <v>5594526</v>
      </c>
      <c r="AI30" s="155">
        <v>7039340</v>
      </c>
      <c r="AJ30" s="155">
        <v>6913170</v>
      </c>
      <c r="AK30" s="155">
        <v>17074407</v>
      </c>
      <c r="AL30" s="155">
        <v>15896065</v>
      </c>
      <c r="AM30" s="155">
        <v>8848621</v>
      </c>
      <c r="AN30" s="155">
        <v>39307219</v>
      </c>
    </row>
    <row r="31" spans="1:40" x14ac:dyDescent="0.25">
      <c r="A31" s="322" t="s">
        <v>169</v>
      </c>
      <c r="B31" s="317"/>
      <c r="C31" s="317"/>
      <c r="D31" s="317"/>
      <c r="E31" s="118"/>
      <c r="F31" s="118"/>
      <c r="L31" s="118"/>
      <c r="M31" s="115"/>
      <c r="N31" s="118"/>
      <c r="O31" s="111"/>
      <c r="R31" s="122" t="s">
        <v>125</v>
      </c>
      <c r="S31" s="155">
        <v>194038153</v>
      </c>
      <c r="T31" s="155">
        <v>348054</v>
      </c>
      <c r="U31" s="155">
        <v>2917427</v>
      </c>
      <c r="V31" s="155">
        <v>12719261</v>
      </c>
      <c r="W31" s="155">
        <v>28872339</v>
      </c>
      <c r="X31" s="155">
        <v>28445279</v>
      </c>
      <c r="Y31" s="155">
        <v>26616592</v>
      </c>
      <c r="Z31" s="155">
        <v>55504256</v>
      </c>
      <c r="AA31" s="155">
        <v>24348285</v>
      </c>
      <c r="AB31" s="155">
        <v>7186683</v>
      </c>
      <c r="AC31" s="155">
        <v>7079977</v>
      </c>
      <c r="AD31" s="155">
        <v>92376931</v>
      </c>
      <c r="AE31" s="155">
        <v>-248655</v>
      </c>
      <c r="AF31" s="155">
        <v>1273120</v>
      </c>
      <c r="AG31" s="155">
        <v>5404110</v>
      </c>
      <c r="AH31" s="155">
        <v>9444226</v>
      </c>
      <c r="AI31" s="155">
        <v>10483494</v>
      </c>
      <c r="AJ31" s="155">
        <v>9934131</v>
      </c>
      <c r="AK31" s="155">
        <v>18916266</v>
      </c>
      <c r="AL31" s="155">
        <v>12039665</v>
      </c>
      <c r="AM31" s="155">
        <v>5909218</v>
      </c>
      <c r="AN31" s="155">
        <v>19221356</v>
      </c>
    </row>
    <row r="32" spans="1:40" x14ac:dyDescent="0.25">
      <c r="A32" s="118"/>
      <c r="B32" s="115"/>
      <c r="C32" s="118"/>
      <c r="D32" s="118"/>
      <c r="R32" s="122" t="s">
        <v>126</v>
      </c>
      <c r="S32" s="155">
        <v>137712339</v>
      </c>
      <c r="T32" s="155">
        <v>262715</v>
      </c>
      <c r="U32" s="155">
        <v>1588367</v>
      </c>
      <c r="V32" s="155">
        <v>6327926</v>
      </c>
      <c r="W32" s="155">
        <v>18684038</v>
      </c>
      <c r="X32" s="155">
        <v>18574438</v>
      </c>
      <c r="Y32" s="155">
        <v>18042347</v>
      </c>
      <c r="Z32" s="155">
        <v>40854936</v>
      </c>
      <c r="AA32" s="155">
        <v>20747200</v>
      </c>
      <c r="AB32" s="155">
        <v>6325893</v>
      </c>
      <c r="AC32" s="155">
        <v>6304479</v>
      </c>
      <c r="AD32" s="155">
        <v>60277043</v>
      </c>
      <c r="AE32" s="155">
        <v>-162832</v>
      </c>
      <c r="AF32" s="155">
        <v>481636</v>
      </c>
      <c r="AG32" s="155">
        <v>2159845</v>
      </c>
      <c r="AH32" s="155">
        <v>4645317</v>
      </c>
      <c r="AI32" s="155">
        <v>5958820</v>
      </c>
      <c r="AJ32" s="155">
        <v>6111630</v>
      </c>
      <c r="AK32" s="155">
        <v>12386963</v>
      </c>
      <c r="AL32" s="155">
        <v>9348230</v>
      </c>
      <c r="AM32" s="155">
        <v>4679943</v>
      </c>
      <c r="AN32" s="155">
        <v>14667491</v>
      </c>
    </row>
    <row r="33" spans="1:40" x14ac:dyDescent="0.25">
      <c r="A33" s="193"/>
      <c r="B33" s="179"/>
      <c r="C33" s="179"/>
      <c r="D33" s="179"/>
      <c r="R33" s="122" t="s">
        <v>127</v>
      </c>
      <c r="S33" s="155">
        <v>43630324</v>
      </c>
      <c r="T33" s="155">
        <v>104527</v>
      </c>
      <c r="U33" s="155">
        <v>843882</v>
      </c>
      <c r="V33" s="155">
        <v>5131304</v>
      </c>
      <c r="W33" s="155">
        <v>9315683</v>
      </c>
      <c r="X33" s="155">
        <v>7023469</v>
      </c>
      <c r="Y33" s="155">
        <v>5774495</v>
      </c>
      <c r="Z33" s="155">
        <v>10072280</v>
      </c>
      <c r="AA33" s="155">
        <v>3734231</v>
      </c>
      <c r="AB33" s="155">
        <v>998506</v>
      </c>
      <c r="AC33" s="155">
        <v>631947</v>
      </c>
      <c r="AD33" s="155">
        <v>17642211</v>
      </c>
      <c r="AE33" s="155">
        <v>-165628</v>
      </c>
      <c r="AF33" s="155">
        <v>269381</v>
      </c>
      <c r="AG33" s="155">
        <v>1191227</v>
      </c>
      <c r="AH33" s="155">
        <v>1814013</v>
      </c>
      <c r="AI33" s="155">
        <v>2168254</v>
      </c>
      <c r="AJ33" s="155">
        <v>1977699</v>
      </c>
      <c r="AK33" s="155">
        <v>3909416</v>
      </c>
      <c r="AL33" s="155">
        <v>2670019</v>
      </c>
      <c r="AM33" s="155">
        <v>1256511</v>
      </c>
      <c r="AN33" s="155">
        <v>2551319</v>
      </c>
    </row>
    <row r="34" spans="1:40" x14ac:dyDescent="0.25">
      <c r="R34" s="122" t="s">
        <v>128</v>
      </c>
      <c r="S34" s="155">
        <v>114572046</v>
      </c>
      <c r="T34" s="155">
        <v>235199</v>
      </c>
      <c r="U34" s="155">
        <v>1745750</v>
      </c>
      <c r="V34" s="155">
        <v>8258162</v>
      </c>
      <c r="W34" s="155">
        <v>19522534</v>
      </c>
      <c r="X34" s="155">
        <v>17810405</v>
      </c>
      <c r="Y34" s="155">
        <v>15720069</v>
      </c>
      <c r="Z34" s="155">
        <v>29746724</v>
      </c>
      <c r="AA34" s="155">
        <v>13104524</v>
      </c>
      <c r="AB34" s="155">
        <v>4010038</v>
      </c>
      <c r="AC34" s="155">
        <v>4418641</v>
      </c>
      <c r="AD34" s="155">
        <v>54616968</v>
      </c>
      <c r="AE34" s="155">
        <v>-224436</v>
      </c>
      <c r="AF34" s="155">
        <v>636454</v>
      </c>
      <c r="AG34" s="155">
        <v>2650868</v>
      </c>
      <c r="AH34" s="155">
        <v>5116488</v>
      </c>
      <c r="AI34" s="155">
        <v>6025395</v>
      </c>
      <c r="AJ34" s="155">
        <v>5676272</v>
      </c>
      <c r="AK34" s="155">
        <v>10859218</v>
      </c>
      <c r="AL34" s="155">
        <v>7482823</v>
      </c>
      <c r="AM34" s="155">
        <v>3707809</v>
      </c>
      <c r="AN34" s="155">
        <v>12686077</v>
      </c>
    </row>
    <row r="35" spans="1:40" x14ac:dyDescent="0.25">
      <c r="R35" s="122" t="s">
        <v>129</v>
      </c>
      <c r="S35" s="155">
        <v>17856969</v>
      </c>
      <c r="T35" s="155">
        <v>61123</v>
      </c>
      <c r="U35" s="155">
        <v>313809</v>
      </c>
      <c r="V35" s="155">
        <v>1445706</v>
      </c>
      <c r="W35" s="155">
        <v>3259202</v>
      </c>
      <c r="X35" s="155">
        <v>3015284</v>
      </c>
      <c r="Y35" s="155">
        <v>2770180</v>
      </c>
      <c r="Z35" s="155">
        <v>4571721</v>
      </c>
      <c r="AA35" s="155">
        <v>1663122</v>
      </c>
      <c r="AB35" s="155">
        <v>446784</v>
      </c>
      <c r="AC35" s="155">
        <v>310038</v>
      </c>
      <c r="AD35" s="155">
        <v>11168904</v>
      </c>
      <c r="AE35" s="155">
        <v>-25639</v>
      </c>
      <c r="AF35" s="155">
        <v>120568</v>
      </c>
      <c r="AG35" s="155">
        <v>501455</v>
      </c>
      <c r="AH35" s="155">
        <v>1073435</v>
      </c>
      <c r="AI35" s="155">
        <v>1269678</v>
      </c>
      <c r="AJ35" s="155">
        <v>1251240</v>
      </c>
      <c r="AK35" s="155">
        <v>2415203</v>
      </c>
      <c r="AL35" s="155">
        <v>1777364</v>
      </c>
      <c r="AM35" s="155">
        <v>794987</v>
      </c>
      <c r="AN35" s="155">
        <v>1990613</v>
      </c>
    </row>
    <row r="36" spans="1:40" x14ac:dyDescent="0.25">
      <c r="R36" s="122" t="s">
        <v>130</v>
      </c>
      <c r="S36" s="155">
        <v>39140074</v>
      </c>
      <c r="T36" s="155">
        <v>112774</v>
      </c>
      <c r="U36" s="155">
        <v>549270</v>
      </c>
      <c r="V36" s="155">
        <v>2484434</v>
      </c>
      <c r="W36" s="155">
        <v>6806718</v>
      </c>
      <c r="X36" s="155">
        <v>6214806</v>
      </c>
      <c r="Y36" s="155">
        <v>5836992</v>
      </c>
      <c r="Z36" s="155">
        <v>10736506</v>
      </c>
      <c r="AA36" s="155">
        <v>4091747</v>
      </c>
      <c r="AB36" s="155">
        <v>1261114</v>
      </c>
      <c r="AC36" s="155">
        <v>1045713</v>
      </c>
      <c r="AD36" s="155">
        <v>17396279</v>
      </c>
      <c r="AE36" s="155">
        <v>-62309</v>
      </c>
      <c r="AF36" s="155">
        <v>151149</v>
      </c>
      <c r="AG36" s="155">
        <v>658773</v>
      </c>
      <c r="AH36" s="155">
        <v>1377858</v>
      </c>
      <c r="AI36" s="155">
        <v>1778452</v>
      </c>
      <c r="AJ36" s="155">
        <v>1771921</v>
      </c>
      <c r="AK36" s="155">
        <v>3727087</v>
      </c>
      <c r="AL36" s="155">
        <v>2743596</v>
      </c>
      <c r="AM36" s="155">
        <v>1364106</v>
      </c>
      <c r="AN36" s="155">
        <v>3885646</v>
      </c>
    </row>
    <row r="37" spans="1:40" x14ac:dyDescent="0.25">
      <c r="R37" s="122" t="s">
        <v>131</v>
      </c>
      <c r="S37" s="155">
        <v>55083849</v>
      </c>
      <c r="T37" s="155">
        <v>183585</v>
      </c>
      <c r="U37" s="155">
        <v>704732</v>
      </c>
      <c r="V37" s="155">
        <v>4509273</v>
      </c>
      <c r="W37" s="155">
        <v>11214017</v>
      </c>
      <c r="X37" s="155">
        <v>8756605</v>
      </c>
      <c r="Y37" s="155">
        <v>7046475</v>
      </c>
      <c r="Z37" s="155">
        <v>13068624</v>
      </c>
      <c r="AA37" s="155">
        <v>5420364</v>
      </c>
      <c r="AB37" s="155">
        <v>1676369</v>
      </c>
      <c r="AC37" s="155">
        <v>2503805</v>
      </c>
      <c r="AD37" s="155">
        <v>32664964</v>
      </c>
      <c r="AE37" s="155">
        <v>-255274</v>
      </c>
      <c r="AF37" s="155">
        <v>256645</v>
      </c>
      <c r="AG37" s="155">
        <v>1136218</v>
      </c>
      <c r="AH37" s="155">
        <v>2075936</v>
      </c>
      <c r="AI37" s="155">
        <v>2619401</v>
      </c>
      <c r="AJ37" s="155">
        <v>2529168</v>
      </c>
      <c r="AK37" s="155">
        <v>5410868</v>
      </c>
      <c r="AL37" s="155">
        <v>4047916</v>
      </c>
      <c r="AM37" s="155">
        <v>2169044</v>
      </c>
      <c r="AN37" s="155">
        <v>12675042</v>
      </c>
    </row>
    <row r="38" spans="1:40" x14ac:dyDescent="0.25">
      <c r="R38" s="122" t="s">
        <v>132</v>
      </c>
      <c r="S38" s="155">
        <v>35924508</v>
      </c>
      <c r="T38" s="155">
        <v>53712</v>
      </c>
      <c r="U38" s="155">
        <v>396588</v>
      </c>
      <c r="V38" s="155">
        <v>1580780</v>
      </c>
      <c r="W38" s="155">
        <v>4645956</v>
      </c>
      <c r="X38" s="155">
        <v>4666575</v>
      </c>
      <c r="Y38" s="155">
        <v>4538158</v>
      </c>
      <c r="Z38" s="155">
        <v>11185736</v>
      </c>
      <c r="AA38" s="155">
        <v>5702044</v>
      </c>
      <c r="AB38" s="155">
        <v>1371184</v>
      </c>
      <c r="AC38" s="155">
        <v>1783775</v>
      </c>
      <c r="AD38" s="155">
        <v>15458070</v>
      </c>
      <c r="AE38" s="155">
        <v>-58096</v>
      </c>
      <c r="AF38" s="155">
        <v>124506</v>
      </c>
      <c r="AG38" s="155">
        <v>554567</v>
      </c>
      <c r="AH38" s="155">
        <v>1235178</v>
      </c>
      <c r="AI38" s="155">
        <v>1574587</v>
      </c>
      <c r="AJ38" s="155">
        <v>1604841</v>
      </c>
      <c r="AK38" s="155">
        <v>3633235</v>
      </c>
      <c r="AL38" s="155">
        <v>2617719</v>
      </c>
      <c r="AM38" s="155">
        <v>1102604</v>
      </c>
      <c r="AN38" s="155">
        <v>3068929</v>
      </c>
    </row>
    <row r="39" spans="1:40" x14ac:dyDescent="0.25">
      <c r="R39" s="122" t="s">
        <v>133</v>
      </c>
      <c r="S39" s="155">
        <v>265682291</v>
      </c>
      <c r="T39" s="155">
        <v>508752</v>
      </c>
      <c r="U39" s="155">
        <v>2386307</v>
      </c>
      <c r="V39" s="155">
        <v>10568995</v>
      </c>
      <c r="W39" s="155">
        <v>26301224</v>
      </c>
      <c r="X39" s="155">
        <v>27605586</v>
      </c>
      <c r="Y39" s="155">
        <v>25811944</v>
      </c>
      <c r="Z39" s="155">
        <v>74331220</v>
      </c>
      <c r="AA39" s="155">
        <v>56440938</v>
      </c>
      <c r="AB39" s="155">
        <v>18460654</v>
      </c>
      <c r="AC39" s="155">
        <v>23266671</v>
      </c>
      <c r="AD39" s="155">
        <v>113860559</v>
      </c>
      <c r="AE39" s="155">
        <v>-409832</v>
      </c>
      <c r="AF39" s="155">
        <v>1013861</v>
      </c>
      <c r="AG39" s="155">
        <v>3874986</v>
      </c>
      <c r="AH39" s="155">
        <v>6933816</v>
      </c>
      <c r="AI39" s="155">
        <v>8926124</v>
      </c>
      <c r="AJ39" s="155">
        <v>9335824</v>
      </c>
      <c r="AK39" s="155">
        <v>23716468</v>
      </c>
      <c r="AL39" s="155">
        <v>19777450</v>
      </c>
      <c r="AM39" s="155">
        <v>10329215</v>
      </c>
      <c r="AN39" s="155">
        <v>30362647</v>
      </c>
    </row>
    <row r="40" spans="1:40" x14ac:dyDescent="0.25">
      <c r="R40" s="122" t="s">
        <v>134</v>
      </c>
      <c r="S40" s="155">
        <v>32356179</v>
      </c>
      <c r="T40" s="155">
        <v>79373</v>
      </c>
      <c r="U40" s="155">
        <v>594991</v>
      </c>
      <c r="V40" s="155">
        <v>3127718</v>
      </c>
      <c r="W40" s="155">
        <v>6494798</v>
      </c>
      <c r="X40" s="155">
        <v>5198344</v>
      </c>
      <c r="Y40" s="155">
        <v>4360003</v>
      </c>
      <c r="Z40" s="155">
        <v>8223814</v>
      </c>
      <c r="AA40" s="155">
        <v>3143749</v>
      </c>
      <c r="AB40" s="155">
        <v>667956</v>
      </c>
      <c r="AC40" s="155">
        <v>465433</v>
      </c>
      <c r="AD40" s="155">
        <v>15654058</v>
      </c>
      <c r="AE40" s="155">
        <v>-97895</v>
      </c>
      <c r="AF40" s="155">
        <v>199804</v>
      </c>
      <c r="AG40" s="155">
        <v>872185</v>
      </c>
      <c r="AH40" s="155">
        <v>1672513</v>
      </c>
      <c r="AI40" s="155">
        <v>1933834</v>
      </c>
      <c r="AJ40" s="155">
        <v>1831512</v>
      </c>
      <c r="AK40" s="155">
        <v>3879739</v>
      </c>
      <c r="AL40" s="155">
        <v>2447053</v>
      </c>
      <c r="AM40" s="155">
        <v>959935</v>
      </c>
      <c r="AN40" s="155">
        <v>1955378</v>
      </c>
    </row>
    <row r="41" spans="1:40" x14ac:dyDescent="0.25">
      <c r="R41" s="122" t="s">
        <v>135</v>
      </c>
      <c r="S41" s="155">
        <v>516838658</v>
      </c>
      <c r="T41" s="155">
        <v>1162295</v>
      </c>
      <c r="U41" s="155">
        <v>5452738</v>
      </c>
      <c r="V41" s="155">
        <v>26115798</v>
      </c>
      <c r="W41" s="155">
        <v>62908013</v>
      </c>
      <c r="X41" s="155">
        <v>62253317</v>
      </c>
      <c r="Y41" s="155">
        <v>54084687</v>
      </c>
      <c r="Z41" s="155">
        <v>127486664</v>
      </c>
      <c r="AA41" s="155">
        <v>82022795</v>
      </c>
      <c r="AB41" s="155">
        <v>31339238</v>
      </c>
      <c r="AC41" s="155">
        <v>64013113</v>
      </c>
      <c r="AD41" s="155">
        <v>300745017</v>
      </c>
      <c r="AE41" s="155">
        <v>-1628385</v>
      </c>
      <c r="AF41" s="155">
        <v>2931735</v>
      </c>
      <c r="AG41" s="155">
        <v>9884054</v>
      </c>
      <c r="AH41" s="155">
        <v>14732007</v>
      </c>
      <c r="AI41" s="155">
        <v>17681933</v>
      </c>
      <c r="AJ41" s="155">
        <v>18042414</v>
      </c>
      <c r="AK41" s="155">
        <v>43273418</v>
      </c>
      <c r="AL41" s="155">
        <v>36390320</v>
      </c>
      <c r="AM41" s="155">
        <v>22058397</v>
      </c>
      <c r="AN41" s="155">
        <v>137379124</v>
      </c>
    </row>
    <row r="42" spans="1:40" x14ac:dyDescent="0.25">
      <c r="R42" s="122" t="s">
        <v>136</v>
      </c>
      <c r="S42" s="155">
        <v>188278619</v>
      </c>
      <c r="T42" s="155">
        <v>380397</v>
      </c>
      <c r="U42" s="155">
        <v>2818409</v>
      </c>
      <c r="V42" s="155">
        <v>14368456</v>
      </c>
      <c r="W42" s="155">
        <v>32931094</v>
      </c>
      <c r="X42" s="155">
        <v>26805800</v>
      </c>
      <c r="Y42" s="155">
        <v>23254775</v>
      </c>
      <c r="Z42" s="155">
        <v>47061472</v>
      </c>
      <c r="AA42" s="155">
        <v>25459450</v>
      </c>
      <c r="AB42" s="155">
        <v>7581441</v>
      </c>
      <c r="AC42" s="155">
        <v>7617325</v>
      </c>
      <c r="AD42" s="155">
        <v>83703635</v>
      </c>
      <c r="AE42" s="155">
        <v>-266244</v>
      </c>
      <c r="AF42" s="155">
        <v>986802</v>
      </c>
      <c r="AG42" s="155">
        <v>4300277</v>
      </c>
      <c r="AH42" s="155">
        <v>7396669</v>
      </c>
      <c r="AI42" s="155">
        <v>8655559</v>
      </c>
      <c r="AJ42" s="155">
        <v>8474072</v>
      </c>
      <c r="AK42" s="155">
        <v>18051796</v>
      </c>
      <c r="AL42" s="155">
        <v>12953571</v>
      </c>
      <c r="AM42" s="155">
        <v>6136794</v>
      </c>
      <c r="AN42" s="155">
        <v>17014339</v>
      </c>
    </row>
    <row r="43" spans="1:40" x14ac:dyDescent="0.25">
      <c r="R43" s="122" t="s">
        <v>137</v>
      </c>
      <c r="S43" s="155">
        <v>17226172</v>
      </c>
      <c r="T43" s="155">
        <v>69166</v>
      </c>
      <c r="U43" s="155">
        <v>203304</v>
      </c>
      <c r="V43" s="155">
        <v>893087</v>
      </c>
      <c r="W43" s="155">
        <v>2755430</v>
      </c>
      <c r="X43" s="155">
        <v>2594846</v>
      </c>
      <c r="Y43" s="155">
        <v>2674812</v>
      </c>
      <c r="Z43" s="155">
        <v>5333183</v>
      </c>
      <c r="AA43" s="155">
        <v>1751369</v>
      </c>
      <c r="AB43" s="155">
        <v>588688</v>
      </c>
      <c r="AC43" s="155">
        <v>362287</v>
      </c>
      <c r="AD43" s="155">
        <v>7407596</v>
      </c>
      <c r="AE43" s="155">
        <v>-93851</v>
      </c>
      <c r="AF43" s="155">
        <v>42378</v>
      </c>
      <c r="AG43" s="155">
        <v>217542</v>
      </c>
      <c r="AH43" s="155">
        <v>516909</v>
      </c>
      <c r="AI43" s="155">
        <v>688868</v>
      </c>
      <c r="AJ43" s="155">
        <v>699707</v>
      </c>
      <c r="AK43" s="155">
        <v>1527546</v>
      </c>
      <c r="AL43" s="155">
        <v>1272427</v>
      </c>
      <c r="AM43" s="155">
        <v>694823</v>
      </c>
      <c r="AN43" s="155">
        <v>1841247</v>
      </c>
    </row>
    <row r="44" spans="1:40" x14ac:dyDescent="0.25">
      <c r="R44" s="122" t="s">
        <v>183</v>
      </c>
      <c r="S44" s="155">
        <v>230860704</v>
      </c>
      <c r="T44" s="155">
        <v>344185</v>
      </c>
      <c r="U44" s="155">
        <v>3455127</v>
      </c>
      <c r="V44" s="155">
        <v>15831014</v>
      </c>
      <c r="W44" s="155">
        <v>40947008</v>
      </c>
      <c r="X44" s="155">
        <v>37635620</v>
      </c>
      <c r="Y44" s="155">
        <v>32624716</v>
      </c>
      <c r="Z44" s="155">
        <v>58194156</v>
      </c>
      <c r="AA44" s="155">
        <v>25778534</v>
      </c>
      <c r="AB44" s="155">
        <v>8258428</v>
      </c>
      <c r="AC44" s="155">
        <v>7791916</v>
      </c>
      <c r="AD44" s="155">
        <v>101532013</v>
      </c>
      <c r="AE44" s="155">
        <v>-411400</v>
      </c>
      <c r="AF44" s="155">
        <v>1103367</v>
      </c>
      <c r="AG44" s="155">
        <v>5460702</v>
      </c>
      <c r="AH44" s="155">
        <v>11258744</v>
      </c>
      <c r="AI44" s="155">
        <v>12634539</v>
      </c>
      <c r="AJ44" s="155">
        <v>11205541</v>
      </c>
      <c r="AK44" s="155">
        <v>20345991</v>
      </c>
      <c r="AL44" s="155">
        <v>14268361</v>
      </c>
      <c r="AM44" s="155">
        <v>6938211</v>
      </c>
      <c r="AN44" s="155">
        <v>18727957</v>
      </c>
    </row>
    <row r="45" spans="1:40" x14ac:dyDescent="0.25">
      <c r="R45" s="122" t="s">
        <v>139</v>
      </c>
      <c r="S45" s="155">
        <v>67199954</v>
      </c>
      <c r="T45" s="155">
        <v>217777</v>
      </c>
      <c r="U45" s="155">
        <v>1004440</v>
      </c>
      <c r="V45" s="155">
        <v>5007150</v>
      </c>
      <c r="W45" s="155">
        <v>12356283</v>
      </c>
      <c r="X45" s="155">
        <v>10744300</v>
      </c>
      <c r="Y45" s="155">
        <v>9338631</v>
      </c>
      <c r="Z45" s="155">
        <v>16987642</v>
      </c>
      <c r="AA45" s="155">
        <v>7410790</v>
      </c>
      <c r="AB45" s="155">
        <v>2274822</v>
      </c>
      <c r="AC45" s="155">
        <v>1858119</v>
      </c>
      <c r="AD45" s="155">
        <v>30286616</v>
      </c>
      <c r="AE45" s="155">
        <v>-494649</v>
      </c>
      <c r="AF45" s="155">
        <v>315772</v>
      </c>
      <c r="AG45" s="155">
        <v>1525091</v>
      </c>
      <c r="AH45" s="155">
        <v>2819303</v>
      </c>
      <c r="AI45" s="155">
        <v>3129711</v>
      </c>
      <c r="AJ45" s="155">
        <v>2947104</v>
      </c>
      <c r="AK45" s="155">
        <v>5945637</v>
      </c>
      <c r="AL45" s="155">
        <v>4440657</v>
      </c>
      <c r="AM45" s="155">
        <v>2306915</v>
      </c>
      <c r="AN45" s="155">
        <v>7351075</v>
      </c>
    </row>
    <row r="46" spans="1:40" x14ac:dyDescent="0.25">
      <c r="R46" s="122" t="s">
        <v>140</v>
      </c>
      <c r="S46" s="155">
        <v>79901338</v>
      </c>
      <c r="T46" s="155">
        <v>175311</v>
      </c>
      <c r="U46" s="155">
        <v>1057977</v>
      </c>
      <c r="V46" s="155">
        <v>5214505</v>
      </c>
      <c r="W46" s="155">
        <v>12784394</v>
      </c>
      <c r="X46" s="155">
        <v>11922095</v>
      </c>
      <c r="Y46" s="155">
        <v>10789213</v>
      </c>
      <c r="Z46" s="155">
        <v>21803169</v>
      </c>
      <c r="AA46" s="155">
        <v>10663266</v>
      </c>
      <c r="AB46" s="155">
        <v>2806286</v>
      </c>
      <c r="AC46" s="155">
        <v>2685122</v>
      </c>
      <c r="AD46" s="155">
        <v>42598196</v>
      </c>
      <c r="AE46" s="155">
        <v>-88697</v>
      </c>
      <c r="AF46" s="155">
        <v>411986</v>
      </c>
      <c r="AG46" s="155">
        <v>1792618</v>
      </c>
      <c r="AH46" s="155">
        <v>3659409</v>
      </c>
      <c r="AI46" s="155">
        <v>4549151</v>
      </c>
      <c r="AJ46" s="155">
        <v>4598637</v>
      </c>
      <c r="AK46" s="155">
        <v>10042131</v>
      </c>
      <c r="AL46" s="155">
        <v>7046402</v>
      </c>
      <c r="AM46" s="155">
        <v>3103107</v>
      </c>
      <c r="AN46" s="155">
        <v>7483452</v>
      </c>
    </row>
    <row r="47" spans="1:40" x14ac:dyDescent="0.25">
      <c r="R47" s="122" t="s">
        <v>141</v>
      </c>
      <c r="S47" s="155">
        <v>284404481</v>
      </c>
      <c r="T47" s="155">
        <v>416077</v>
      </c>
      <c r="U47" s="155">
        <v>3644587</v>
      </c>
      <c r="V47" s="155">
        <v>15147098</v>
      </c>
      <c r="W47" s="155">
        <v>41199696</v>
      </c>
      <c r="X47" s="155">
        <v>40453527</v>
      </c>
      <c r="Y47" s="155">
        <v>37152371</v>
      </c>
      <c r="Z47" s="155">
        <v>78633733</v>
      </c>
      <c r="AA47" s="155">
        <v>41078686</v>
      </c>
      <c r="AB47" s="155">
        <v>12656130</v>
      </c>
      <c r="AC47" s="155">
        <v>14022576</v>
      </c>
      <c r="AD47" s="155">
        <v>131791565</v>
      </c>
      <c r="AE47" s="155">
        <v>-573140</v>
      </c>
      <c r="AF47" s="155">
        <v>1566454</v>
      </c>
      <c r="AG47" s="155">
        <v>6202686</v>
      </c>
      <c r="AH47" s="155">
        <v>11515063</v>
      </c>
      <c r="AI47" s="155">
        <v>13536300</v>
      </c>
      <c r="AJ47" s="155">
        <v>13134418</v>
      </c>
      <c r="AK47" s="155">
        <v>27136175</v>
      </c>
      <c r="AL47" s="155">
        <v>19317188</v>
      </c>
      <c r="AM47" s="155">
        <v>9527909</v>
      </c>
      <c r="AN47" s="155">
        <v>30428512</v>
      </c>
    </row>
    <row r="48" spans="1:40" x14ac:dyDescent="0.25">
      <c r="R48" s="122" t="s">
        <v>142</v>
      </c>
      <c r="S48" s="155">
        <v>23998515</v>
      </c>
      <c r="T48" s="155">
        <v>37381</v>
      </c>
      <c r="U48" s="155">
        <v>321696</v>
      </c>
      <c r="V48" s="155">
        <v>1478895</v>
      </c>
      <c r="W48" s="155">
        <v>3654233</v>
      </c>
      <c r="X48" s="155">
        <v>3495066</v>
      </c>
      <c r="Y48" s="155">
        <v>3078894</v>
      </c>
      <c r="Z48" s="155">
        <v>7019093</v>
      </c>
      <c r="AA48" s="155">
        <v>3183656</v>
      </c>
      <c r="AB48" s="155">
        <v>830405</v>
      </c>
      <c r="AC48" s="155">
        <v>899196</v>
      </c>
      <c r="AD48" s="155">
        <v>10426273</v>
      </c>
      <c r="AE48" s="155">
        <v>-20829</v>
      </c>
      <c r="AF48" s="155">
        <v>114094</v>
      </c>
      <c r="AG48" s="155">
        <v>468090</v>
      </c>
      <c r="AH48" s="155">
        <v>859730</v>
      </c>
      <c r="AI48" s="155">
        <v>1093715</v>
      </c>
      <c r="AJ48" s="155">
        <v>1058797</v>
      </c>
      <c r="AK48" s="155">
        <v>2384782</v>
      </c>
      <c r="AL48" s="155">
        <v>1638855</v>
      </c>
      <c r="AM48" s="155">
        <v>745381</v>
      </c>
      <c r="AN48" s="155">
        <v>2083658</v>
      </c>
    </row>
    <row r="49" spans="18:40" x14ac:dyDescent="0.25">
      <c r="R49" s="122" t="s">
        <v>184</v>
      </c>
      <c r="S49" s="155">
        <v>83009443</v>
      </c>
      <c r="T49" s="155">
        <v>188484</v>
      </c>
      <c r="U49" s="155">
        <v>1430523</v>
      </c>
      <c r="V49" s="155">
        <v>7387050</v>
      </c>
      <c r="W49" s="155">
        <v>15713750</v>
      </c>
      <c r="X49" s="155">
        <v>12494363</v>
      </c>
      <c r="Y49" s="155">
        <v>10700407</v>
      </c>
      <c r="Z49" s="155">
        <v>20667473</v>
      </c>
      <c r="AA49" s="155">
        <v>9290121</v>
      </c>
      <c r="AB49" s="155">
        <v>2718205</v>
      </c>
      <c r="AC49" s="155">
        <v>2419067</v>
      </c>
      <c r="AD49" s="155">
        <v>40864252</v>
      </c>
      <c r="AE49" s="155">
        <v>-142917</v>
      </c>
      <c r="AF49" s="155">
        <v>445767</v>
      </c>
      <c r="AG49" s="155">
        <v>2084196</v>
      </c>
      <c r="AH49" s="155">
        <v>3833760</v>
      </c>
      <c r="AI49" s="155">
        <v>4551265</v>
      </c>
      <c r="AJ49" s="155">
        <v>4506633</v>
      </c>
      <c r="AK49" s="155">
        <v>9649140</v>
      </c>
      <c r="AL49" s="155">
        <v>6408075</v>
      </c>
      <c r="AM49" s="155">
        <v>3078438</v>
      </c>
      <c r="AN49" s="155">
        <v>6449895</v>
      </c>
    </row>
    <row r="50" spans="18:40" x14ac:dyDescent="0.25">
      <c r="R50" s="122" t="s">
        <v>144</v>
      </c>
      <c r="S50" s="155">
        <v>16085521</v>
      </c>
      <c r="T50" s="155">
        <v>60977</v>
      </c>
      <c r="U50" s="155">
        <v>272929</v>
      </c>
      <c r="V50" s="155">
        <v>1102442</v>
      </c>
      <c r="W50" s="155">
        <v>3094691</v>
      </c>
      <c r="X50" s="155">
        <v>2671701</v>
      </c>
      <c r="Y50" s="155">
        <v>2546709</v>
      </c>
      <c r="Z50" s="155">
        <v>3860503</v>
      </c>
      <c r="AA50" s="155">
        <v>1425779</v>
      </c>
      <c r="AB50" s="155">
        <v>561041</v>
      </c>
      <c r="AC50" s="155">
        <v>488749</v>
      </c>
      <c r="AD50" s="155">
        <v>9545235</v>
      </c>
      <c r="AE50" s="155">
        <v>-62343</v>
      </c>
      <c r="AF50" s="155">
        <v>65215</v>
      </c>
      <c r="AG50" s="155">
        <v>309929</v>
      </c>
      <c r="AH50" s="155">
        <v>731667</v>
      </c>
      <c r="AI50" s="155">
        <v>955845</v>
      </c>
      <c r="AJ50" s="155">
        <v>977860</v>
      </c>
      <c r="AK50" s="155">
        <v>1905155</v>
      </c>
      <c r="AL50" s="155">
        <v>1505793</v>
      </c>
      <c r="AM50" s="155">
        <v>812342</v>
      </c>
      <c r="AN50" s="155">
        <v>2343772</v>
      </c>
    </row>
    <row r="51" spans="18:40" x14ac:dyDescent="0.25">
      <c r="R51" s="122" t="s">
        <v>145</v>
      </c>
      <c r="S51" s="155">
        <v>122109394</v>
      </c>
      <c r="T51" s="155">
        <v>244581</v>
      </c>
      <c r="U51" s="155">
        <v>1912120</v>
      </c>
      <c r="V51" s="155">
        <v>9881853</v>
      </c>
      <c r="W51" s="155">
        <v>22337840</v>
      </c>
      <c r="X51" s="155">
        <v>18597470</v>
      </c>
      <c r="Y51" s="155">
        <v>15575154</v>
      </c>
      <c r="Z51" s="155">
        <v>28296945</v>
      </c>
      <c r="AA51" s="155">
        <v>13765830</v>
      </c>
      <c r="AB51" s="155">
        <v>4681903</v>
      </c>
      <c r="AC51" s="155">
        <v>6815698</v>
      </c>
      <c r="AD51" s="155">
        <v>52143940</v>
      </c>
      <c r="AE51" s="155">
        <v>-337701</v>
      </c>
      <c r="AF51" s="155">
        <v>664263</v>
      </c>
      <c r="AG51" s="155">
        <v>2889153</v>
      </c>
      <c r="AH51" s="155">
        <v>4840298</v>
      </c>
      <c r="AI51" s="155">
        <v>5477104</v>
      </c>
      <c r="AJ51" s="155">
        <v>5126371</v>
      </c>
      <c r="AK51" s="155">
        <v>10490135</v>
      </c>
      <c r="AL51" s="155">
        <v>8180456</v>
      </c>
      <c r="AM51" s="155">
        <v>3994127</v>
      </c>
      <c r="AN51" s="155">
        <v>10819734</v>
      </c>
    </row>
    <row r="52" spans="18:40" x14ac:dyDescent="0.25">
      <c r="R52" s="122" t="s">
        <v>146</v>
      </c>
      <c r="S52" s="155">
        <v>587955029</v>
      </c>
      <c r="T52" s="155">
        <v>1473823</v>
      </c>
      <c r="U52" s="155">
        <v>7385605</v>
      </c>
      <c r="V52" s="155">
        <v>39932983</v>
      </c>
      <c r="W52" s="155">
        <v>91518574</v>
      </c>
      <c r="X52" s="155">
        <v>77795946</v>
      </c>
      <c r="Y52" s="155">
        <v>66299846</v>
      </c>
      <c r="Z52" s="155">
        <v>151197235</v>
      </c>
      <c r="AA52" s="155">
        <v>90648287</v>
      </c>
      <c r="AB52" s="155">
        <v>28028222</v>
      </c>
      <c r="AC52" s="155">
        <v>33674508</v>
      </c>
      <c r="AD52" s="155">
        <v>250406767</v>
      </c>
      <c r="AE52" s="155">
        <v>-3700668</v>
      </c>
      <c r="AF52" s="155">
        <v>2270315</v>
      </c>
      <c r="AG52" s="155">
        <v>10325697</v>
      </c>
      <c r="AH52" s="155">
        <v>15971879</v>
      </c>
      <c r="AI52" s="155">
        <v>18299185</v>
      </c>
      <c r="AJ52" s="155">
        <v>18032693</v>
      </c>
      <c r="AK52" s="155">
        <v>43044120</v>
      </c>
      <c r="AL52" s="155">
        <v>38145792</v>
      </c>
      <c r="AM52" s="155">
        <v>21645735</v>
      </c>
      <c r="AN52" s="155">
        <v>86372019</v>
      </c>
    </row>
    <row r="53" spans="18:40" x14ac:dyDescent="0.25">
      <c r="R53" s="122" t="s">
        <v>147</v>
      </c>
      <c r="S53" s="155">
        <v>57846315</v>
      </c>
      <c r="T53" s="155">
        <v>164935</v>
      </c>
      <c r="U53" s="155">
        <v>809540</v>
      </c>
      <c r="V53" s="155">
        <v>3673742</v>
      </c>
      <c r="W53" s="155">
        <v>9214225</v>
      </c>
      <c r="X53" s="155">
        <v>9510594</v>
      </c>
      <c r="Y53" s="155">
        <v>8698199</v>
      </c>
      <c r="Z53" s="155">
        <v>15779684</v>
      </c>
      <c r="AA53" s="155">
        <v>6284830</v>
      </c>
      <c r="AB53" s="155">
        <v>1810306</v>
      </c>
      <c r="AC53" s="155">
        <v>1900260</v>
      </c>
      <c r="AD53" s="155">
        <v>24465106</v>
      </c>
      <c r="AE53" s="155">
        <v>-230906</v>
      </c>
      <c r="AF53" s="155">
        <v>155409</v>
      </c>
      <c r="AG53" s="155">
        <v>812700</v>
      </c>
      <c r="AH53" s="155">
        <v>1868001</v>
      </c>
      <c r="AI53" s="155">
        <v>2364150</v>
      </c>
      <c r="AJ53" s="155">
        <v>2380843</v>
      </c>
      <c r="AK53" s="155">
        <v>4987606</v>
      </c>
      <c r="AL53" s="155">
        <v>3952272</v>
      </c>
      <c r="AM53" s="155">
        <v>2070659</v>
      </c>
      <c r="AN53" s="155">
        <v>6104372</v>
      </c>
    </row>
    <row r="54" spans="18:40" x14ac:dyDescent="0.25">
      <c r="R54" s="122" t="s">
        <v>148</v>
      </c>
      <c r="S54" s="155">
        <v>13013526</v>
      </c>
      <c r="T54" s="155">
        <v>29835</v>
      </c>
      <c r="U54" s="155">
        <v>187478</v>
      </c>
      <c r="V54" s="155">
        <v>804040</v>
      </c>
      <c r="W54" s="155">
        <v>2396817</v>
      </c>
      <c r="X54" s="155">
        <v>2122937</v>
      </c>
      <c r="Y54" s="155">
        <v>1914348</v>
      </c>
      <c r="Z54" s="155">
        <v>3551980</v>
      </c>
      <c r="AA54" s="155">
        <v>1409872</v>
      </c>
      <c r="AB54" s="155">
        <v>341350</v>
      </c>
      <c r="AC54" s="155">
        <v>254869</v>
      </c>
      <c r="AD54" s="155">
        <v>6956453</v>
      </c>
      <c r="AE54" s="155">
        <v>-7677</v>
      </c>
      <c r="AF54" s="155">
        <v>86160</v>
      </c>
      <c r="AG54" s="155">
        <v>325975</v>
      </c>
      <c r="AH54" s="155">
        <v>657359</v>
      </c>
      <c r="AI54" s="155">
        <v>765341</v>
      </c>
      <c r="AJ54" s="155">
        <v>743349</v>
      </c>
      <c r="AK54" s="155">
        <v>1614586</v>
      </c>
      <c r="AL54" s="155">
        <v>1185270</v>
      </c>
      <c r="AM54" s="155">
        <v>482600</v>
      </c>
      <c r="AN54" s="155">
        <v>1103490</v>
      </c>
    </row>
    <row r="55" spans="18:40" x14ac:dyDescent="0.25">
      <c r="R55" s="122" t="s">
        <v>149</v>
      </c>
      <c r="S55" s="155">
        <v>208640763</v>
      </c>
      <c r="T55" s="155">
        <v>393019</v>
      </c>
      <c r="U55" s="155">
        <v>2229628</v>
      </c>
      <c r="V55" s="155">
        <v>10437644</v>
      </c>
      <c r="W55" s="155">
        <v>26251724</v>
      </c>
      <c r="X55" s="155">
        <v>25345275</v>
      </c>
      <c r="Y55" s="155">
        <v>24340382</v>
      </c>
      <c r="Z55" s="155">
        <v>62480672</v>
      </c>
      <c r="AA55" s="155">
        <v>39485292</v>
      </c>
      <c r="AB55" s="155">
        <v>8627575</v>
      </c>
      <c r="AC55" s="155">
        <v>9049552</v>
      </c>
      <c r="AD55" s="155">
        <v>91316010</v>
      </c>
      <c r="AE55" s="155">
        <v>-405921</v>
      </c>
      <c r="AF55" s="155">
        <v>672212</v>
      </c>
      <c r="AG55" s="155">
        <v>2980708</v>
      </c>
      <c r="AH55" s="155">
        <v>5902364</v>
      </c>
      <c r="AI55" s="155">
        <v>7703437</v>
      </c>
      <c r="AJ55" s="155">
        <v>8195858</v>
      </c>
      <c r="AK55" s="155">
        <v>21946031</v>
      </c>
      <c r="AL55" s="155">
        <v>17759287</v>
      </c>
      <c r="AM55" s="155">
        <v>7328405</v>
      </c>
      <c r="AN55" s="155">
        <v>19233629</v>
      </c>
    </row>
    <row r="56" spans="18:40" x14ac:dyDescent="0.25">
      <c r="R56" s="122" t="s">
        <v>150</v>
      </c>
      <c r="S56" s="155">
        <v>180582917</v>
      </c>
      <c r="T56" s="155">
        <v>349584</v>
      </c>
      <c r="U56" s="155">
        <v>1720664</v>
      </c>
      <c r="V56" s="155">
        <v>8437915</v>
      </c>
      <c r="W56" s="155">
        <v>23627802</v>
      </c>
      <c r="X56" s="155">
        <v>23615525</v>
      </c>
      <c r="Y56" s="155">
        <v>22400462</v>
      </c>
      <c r="Z56" s="155">
        <v>54361981</v>
      </c>
      <c r="AA56" s="155">
        <v>29966761</v>
      </c>
      <c r="AB56" s="155">
        <v>7810033</v>
      </c>
      <c r="AC56" s="155">
        <v>8292190</v>
      </c>
      <c r="AD56" s="155">
        <v>91965032</v>
      </c>
      <c r="AE56" s="155">
        <v>-62075</v>
      </c>
      <c r="AF56" s="155">
        <v>566418</v>
      </c>
      <c r="AG56" s="155">
        <v>2679013</v>
      </c>
      <c r="AH56" s="155">
        <v>6006399</v>
      </c>
      <c r="AI56" s="155">
        <v>7651776</v>
      </c>
      <c r="AJ56" s="155">
        <v>7742256</v>
      </c>
      <c r="AK56" s="155">
        <v>17916484</v>
      </c>
      <c r="AL56" s="155">
        <v>14450083</v>
      </c>
      <c r="AM56" s="155">
        <v>7006137</v>
      </c>
      <c r="AN56" s="155">
        <v>28008541</v>
      </c>
    </row>
    <row r="57" spans="18:40" x14ac:dyDescent="0.25">
      <c r="R57" s="122" t="s">
        <v>151</v>
      </c>
      <c r="S57" s="155">
        <v>28516229</v>
      </c>
      <c r="T57" s="155">
        <v>44523</v>
      </c>
      <c r="U57" s="155">
        <v>507306</v>
      </c>
      <c r="V57" s="155">
        <v>2401302</v>
      </c>
      <c r="W57" s="155">
        <v>5173017</v>
      </c>
      <c r="X57" s="155">
        <v>5140291</v>
      </c>
      <c r="Y57" s="155">
        <v>4655608</v>
      </c>
      <c r="Z57" s="155">
        <v>7425482</v>
      </c>
      <c r="AA57" s="155">
        <v>2249452</v>
      </c>
      <c r="AB57" s="155">
        <v>598608</v>
      </c>
      <c r="AC57" s="155">
        <v>320640</v>
      </c>
      <c r="AD57" s="155">
        <v>11641791</v>
      </c>
      <c r="AE57" s="155">
        <v>-59366</v>
      </c>
      <c r="AF57" s="155">
        <v>188171</v>
      </c>
      <c r="AG57" s="155">
        <v>871782</v>
      </c>
      <c r="AH57" s="155">
        <v>1532384</v>
      </c>
      <c r="AI57" s="155">
        <v>1629953</v>
      </c>
      <c r="AJ57" s="155">
        <v>1438147</v>
      </c>
      <c r="AK57" s="155">
        <v>2528836</v>
      </c>
      <c r="AL57" s="155">
        <v>1584038</v>
      </c>
      <c r="AM57" s="155">
        <v>716276</v>
      </c>
      <c r="AN57" s="155">
        <v>1211570</v>
      </c>
    </row>
    <row r="58" spans="18:40" x14ac:dyDescent="0.25">
      <c r="R58" s="122" t="s">
        <v>152</v>
      </c>
      <c r="S58" s="155">
        <v>123863794</v>
      </c>
      <c r="T58" s="155">
        <v>251330</v>
      </c>
      <c r="U58" s="155">
        <v>1714006</v>
      </c>
      <c r="V58" s="155">
        <v>7206493</v>
      </c>
      <c r="W58" s="155">
        <v>19845171</v>
      </c>
      <c r="X58" s="155">
        <v>19379808</v>
      </c>
      <c r="Y58" s="155">
        <v>18557644</v>
      </c>
      <c r="Z58" s="155">
        <v>34750150</v>
      </c>
      <c r="AA58" s="155">
        <v>13673383</v>
      </c>
      <c r="AB58" s="155">
        <v>4450718</v>
      </c>
      <c r="AC58" s="155">
        <v>4035091</v>
      </c>
      <c r="AD58" s="155">
        <v>56262447</v>
      </c>
      <c r="AE58" s="155">
        <v>-174083</v>
      </c>
      <c r="AF58" s="155">
        <v>576729</v>
      </c>
      <c r="AG58" s="155">
        <v>2565196</v>
      </c>
      <c r="AH58" s="155">
        <v>5299526</v>
      </c>
      <c r="AI58" s="155">
        <v>6525952</v>
      </c>
      <c r="AJ58" s="155">
        <v>6421055</v>
      </c>
      <c r="AK58" s="155">
        <v>11721969</v>
      </c>
      <c r="AL58" s="155">
        <v>7455805</v>
      </c>
      <c r="AM58" s="155">
        <v>3684781</v>
      </c>
      <c r="AN58" s="155">
        <v>12185517</v>
      </c>
    </row>
    <row r="59" spans="18:40" x14ac:dyDescent="0.25">
      <c r="R59" s="122" t="s">
        <v>153</v>
      </c>
      <c r="S59" s="155">
        <v>12709806</v>
      </c>
      <c r="T59" s="155">
        <v>47444</v>
      </c>
      <c r="U59" s="155">
        <v>161260</v>
      </c>
      <c r="V59" s="155">
        <v>694116</v>
      </c>
      <c r="W59" s="155">
        <v>1830251</v>
      </c>
      <c r="X59" s="155">
        <v>2004029</v>
      </c>
      <c r="Y59" s="155">
        <v>2081363</v>
      </c>
      <c r="Z59" s="155">
        <v>3978099</v>
      </c>
      <c r="AA59" s="155">
        <v>1123303</v>
      </c>
      <c r="AB59" s="155">
        <v>304356</v>
      </c>
      <c r="AC59" s="155">
        <v>485585</v>
      </c>
      <c r="AD59" s="155">
        <v>9408550</v>
      </c>
      <c r="AE59" s="155">
        <v>-162905</v>
      </c>
      <c r="AF59" s="155">
        <v>44192</v>
      </c>
      <c r="AG59" s="155">
        <v>206327</v>
      </c>
      <c r="AH59" s="155">
        <v>481134</v>
      </c>
      <c r="AI59" s="155">
        <v>616653</v>
      </c>
      <c r="AJ59" s="155">
        <v>629922</v>
      </c>
      <c r="AK59" s="155">
        <v>1393432</v>
      </c>
      <c r="AL59" s="155">
        <v>1180389</v>
      </c>
      <c r="AM59" s="155">
        <v>646929</v>
      </c>
      <c r="AN59" s="155">
        <v>4372477</v>
      </c>
    </row>
    <row r="60" spans="18:40" x14ac:dyDescent="0.25">
      <c r="R60" s="118"/>
    </row>
    <row r="61" spans="18:40" x14ac:dyDescent="0.25">
      <c r="R61" s="118"/>
    </row>
    <row r="62" spans="18:40" x14ac:dyDescent="0.25">
      <c r="R62" s="118"/>
    </row>
    <row r="63" spans="18:40" x14ac:dyDescent="0.25">
      <c r="R63" s="118"/>
    </row>
    <row r="64" spans="18:40" x14ac:dyDescent="0.25">
      <c r="R64" s="118"/>
    </row>
    <row r="65" spans="18:18" x14ac:dyDescent="0.25">
      <c r="R65" s="118"/>
    </row>
    <row r="66" spans="18:18" x14ac:dyDescent="0.25">
      <c r="R66" s="118"/>
    </row>
    <row r="67" spans="18:18" x14ac:dyDescent="0.25">
      <c r="R67" s="118"/>
    </row>
    <row r="68" spans="18:18" x14ac:dyDescent="0.25">
      <c r="R68" s="118"/>
    </row>
    <row r="69" spans="18:18" x14ac:dyDescent="0.25">
      <c r="R69" s="118"/>
    </row>
    <row r="70" spans="18:18" x14ac:dyDescent="0.25">
      <c r="R70" s="118"/>
    </row>
    <row r="71" spans="18:18" x14ac:dyDescent="0.25">
      <c r="R71" s="118"/>
    </row>
    <row r="72" spans="18:18" x14ac:dyDescent="0.25">
      <c r="R72" s="118"/>
    </row>
    <row r="73" spans="18:18" x14ac:dyDescent="0.25">
      <c r="R73" s="118"/>
    </row>
    <row r="74" spans="18:18" x14ac:dyDescent="0.25">
      <c r="R74" s="118"/>
    </row>
  </sheetData>
  <mergeCells count="34">
    <mergeCell ref="A29:D29"/>
    <mergeCell ref="A28:D28"/>
    <mergeCell ref="A31:D31"/>
    <mergeCell ref="O5:O6"/>
    <mergeCell ref="M5:M6"/>
    <mergeCell ref="N5:N6"/>
    <mergeCell ref="A2:K2"/>
    <mergeCell ref="A6:B6"/>
    <mergeCell ref="B7:C7"/>
    <mergeCell ref="G4:K4"/>
    <mergeCell ref="AH6:AH7"/>
    <mergeCell ref="AG6:AG7"/>
    <mergeCell ref="Z6:Z7"/>
    <mergeCell ref="AA6:AA7"/>
    <mergeCell ref="AB6:AB7"/>
    <mergeCell ref="AC6:AC7"/>
    <mergeCell ref="AE6:AE7"/>
    <mergeCell ref="P5:P6"/>
    <mergeCell ref="AI6:AI7"/>
    <mergeCell ref="AJ6:AJ7"/>
    <mergeCell ref="AK6:AK7"/>
    <mergeCell ref="S4:S7"/>
    <mergeCell ref="T5:AC5"/>
    <mergeCell ref="AE5:AN5"/>
    <mergeCell ref="AL6:AL7"/>
    <mergeCell ref="AM6:AM7"/>
    <mergeCell ref="AN6:AN7"/>
    <mergeCell ref="T6:T7"/>
    <mergeCell ref="U6:U7"/>
    <mergeCell ref="V6:V7"/>
    <mergeCell ref="W6:W7"/>
    <mergeCell ref="X6:X7"/>
    <mergeCell ref="Y6:Y7"/>
    <mergeCell ref="AF6:AF7"/>
  </mergeCells>
  <hyperlinks>
    <hyperlink ref="A28" r:id="rId1" display="https://www.irs.gov/uac/soi-tax-stats-historic-table-2" xr:uid="{00000000-0004-0000-0400-000000000000}"/>
    <hyperlink ref="A30" r:id="rId2" display="https://www.cbo.gov/publication/52370" xr:uid="{00000000-0004-0000-0400-000001000000}"/>
    <hyperlink ref="A29" r:id="rId3" display="http://www.nhpf.org/library/the-basics/Basics_LTSS_03-27-14.pdf" xr:uid="{F1518093-DD47-4E06-B8B6-883095778C98}"/>
  </hyperlinks>
  <pageMargins left="0.7" right="0.7" top="0.75" bottom="0.75" header="0.3" footer="0.3"/>
  <pageSetup scale="52" orientation="landscape" horizontalDpi="1200" verticalDpi="1200" r:id="rId4"/>
  <ignoredErrors>
    <ignoredError sqref="G7" evalError="1"/>
  </ignoredErrors>
  <drawing r:id="rId5"/>
  <legacyDrawing r:id="rId6"/>
  <mc:AlternateContent xmlns:mc="http://schemas.openxmlformats.org/markup-compatibility/2006">
    <mc:Choice Requires="x14">
      <controls>
        <mc:AlternateContent xmlns:mc="http://schemas.openxmlformats.org/markup-compatibility/2006">
          <mc:Choice Requires="x14">
            <control shapeId="1026" r:id="rId7" name="Option Button 2">
              <controlPr defaultSize="0" autoFill="0" autoLine="0" autoPict="0">
                <anchor moveWithCells="1">
                  <from>
                    <xdr:col>1</xdr:col>
                    <xdr:colOff>38100</xdr:colOff>
                    <xdr:row>17</xdr:row>
                    <xdr:rowOff>9525</xdr:rowOff>
                  </from>
                  <to>
                    <xdr:col>1</xdr:col>
                    <xdr:colOff>533400</xdr:colOff>
                    <xdr:row>17</xdr:row>
                    <xdr:rowOff>209550</xdr:rowOff>
                  </to>
                </anchor>
              </controlPr>
            </control>
          </mc:Choice>
        </mc:AlternateContent>
        <mc:AlternateContent xmlns:mc="http://schemas.openxmlformats.org/markup-compatibility/2006">
          <mc:Choice Requires="x14">
            <control shapeId="1027" r:id="rId8" name="Option Button 3">
              <controlPr defaultSize="0" autoFill="0" autoLine="0" autoPict="0">
                <anchor moveWithCells="1">
                  <from>
                    <xdr:col>1</xdr:col>
                    <xdr:colOff>457200</xdr:colOff>
                    <xdr:row>17</xdr:row>
                    <xdr:rowOff>0</xdr:rowOff>
                  </from>
                  <to>
                    <xdr:col>1</xdr:col>
                    <xdr:colOff>933450</xdr:colOff>
                    <xdr:row>18</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57"/>
  <sheetViews>
    <sheetView workbookViewId="0">
      <selection activeCell="N17" sqref="N17"/>
    </sheetView>
  </sheetViews>
  <sheetFormatPr defaultRowHeight="15" customHeight="1" x14ac:dyDescent="0.2"/>
  <cols>
    <col min="1" max="1" width="45.28515625" bestFit="1" customWidth="1"/>
    <col min="2" max="2" width="21.5703125" customWidth="1"/>
    <col min="3" max="3" width="19" customWidth="1"/>
    <col min="4" max="4" width="12.28515625" customWidth="1"/>
    <col min="5" max="5" width="25.42578125" customWidth="1"/>
    <col min="6" max="7" width="12.28515625" customWidth="1"/>
    <col min="8" max="8" width="16.42578125" customWidth="1"/>
    <col min="9" max="9" width="16.140625" customWidth="1"/>
    <col min="10" max="11" width="10" customWidth="1"/>
    <col min="12" max="12" width="16.42578125" customWidth="1"/>
    <col min="13" max="13" width="10" customWidth="1"/>
    <col min="14" max="14" width="19.28515625" style="44" customWidth="1"/>
    <col min="15" max="17" width="6.140625" customWidth="1"/>
    <col min="18" max="18" width="10.140625" customWidth="1"/>
    <col min="19" max="19" width="14.5703125" customWidth="1"/>
    <col min="21" max="21" width="7.85546875" bestFit="1" customWidth="1"/>
    <col min="22" max="22" width="9.28515625" customWidth="1"/>
    <col min="23" max="23" width="26.28515625" customWidth="1"/>
    <col min="24" max="24" width="14.140625" style="68" customWidth="1"/>
    <col min="25" max="25" width="12.5703125" style="68" customWidth="1"/>
    <col min="26" max="27" width="12.5703125" customWidth="1"/>
    <col min="28" max="28" width="9.140625" style="68"/>
  </cols>
  <sheetData>
    <row r="1" spans="1:29" ht="20.25" customHeight="1" x14ac:dyDescent="0.3">
      <c r="A1" s="52" t="str">
        <f>'I. Current &amp; Projected Spending'!$A$1</f>
        <v>NEW YORK</v>
      </c>
      <c r="B1" s="43"/>
      <c r="N1" s="22"/>
      <c r="O1" s="22"/>
      <c r="P1" s="22"/>
      <c r="Q1" s="22"/>
      <c r="R1" s="22"/>
      <c r="S1" s="22"/>
      <c r="T1" s="22"/>
    </row>
    <row r="2" spans="1:29" ht="19.5" customHeight="1" x14ac:dyDescent="0.3">
      <c r="A2" s="362" t="s">
        <v>223</v>
      </c>
      <c r="B2" s="363"/>
      <c r="C2" s="363"/>
      <c r="D2" s="363"/>
      <c r="E2" s="363"/>
      <c r="F2" s="364"/>
      <c r="G2" s="363"/>
      <c r="H2" s="363"/>
      <c r="I2" s="363"/>
      <c r="J2" s="363"/>
      <c r="K2" s="363"/>
      <c r="L2" s="363"/>
      <c r="M2" s="363"/>
      <c r="N2" s="363"/>
      <c r="O2" s="363"/>
      <c r="P2" s="363"/>
      <c r="Q2" s="363"/>
      <c r="R2" s="363"/>
      <c r="S2" s="363"/>
      <c r="T2" s="363"/>
    </row>
    <row r="3" spans="1:29" ht="15" customHeight="1" x14ac:dyDescent="0.25">
      <c r="R3" s="365" t="s">
        <v>90</v>
      </c>
      <c r="S3" s="365"/>
    </row>
    <row r="4" spans="1:29" ht="50.25" customHeight="1" x14ac:dyDescent="0.25">
      <c r="H4" s="374" t="s">
        <v>165</v>
      </c>
      <c r="I4" s="375"/>
      <c r="J4" s="357" t="s">
        <v>88</v>
      </c>
      <c r="K4" s="357" t="s">
        <v>78</v>
      </c>
      <c r="L4" s="357" t="s">
        <v>159</v>
      </c>
      <c r="M4" s="48"/>
      <c r="N4" s="373" t="s">
        <v>163</v>
      </c>
      <c r="R4" s="358" t="s">
        <v>161</v>
      </c>
      <c r="S4" s="358" t="s">
        <v>162</v>
      </c>
      <c r="V4" s="357" t="s">
        <v>154</v>
      </c>
      <c r="W4" s="367" t="s">
        <v>102</v>
      </c>
      <c r="X4" s="368" t="s">
        <v>103</v>
      </c>
      <c r="Y4" s="372" t="s">
        <v>156</v>
      </c>
      <c r="Z4" s="361" t="s">
        <v>157</v>
      </c>
      <c r="AA4" s="57"/>
      <c r="AB4" s="370" t="s">
        <v>155</v>
      </c>
      <c r="AC4" s="361" t="s">
        <v>89</v>
      </c>
    </row>
    <row r="5" spans="1:29" ht="33" customHeight="1" x14ac:dyDescent="0.25">
      <c r="E5" s="89" t="s">
        <v>164</v>
      </c>
      <c r="F5" s="224" t="s">
        <v>214</v>
      </c>
      <c r="G5" s="224" t="s">
        <v>213</v>
      </c>
      <c r="H5" s="51">
        <v>2014</v>
      </c>
      <c r="I5" s="49">
        <f>'I. Current &amp; Projected Spending'!$D$5</f>
        <v>2021</v>
      </c>
      <c r="J5" s="357"/>
      <c r="K5" s="366"/>
      <c r="L5" s="366"/>
      <c r="M5" s="50"/>
      <c r="N5" s="366"/>
      <c r="R5" s="359"/>
      <c r="S5" s="359"/>
      <c r="T5" s="1"/>
      <c r="U5" s="1"/>
      <c r="V5" s="357"/>
      <c r="W5" s="367"/>
      <c r="X5" s="369"/>
      <c r="Y5" s="372"/>
      <c r="Z5" s="366"/>
      <c r="AA5" s="58"/>
      <c r="AB5" s="371"/>
      <c r="AC5" s="361"/>
    </row>
    <row r="6" spans="1:29" ht="15" customHeight="1" x14ac:dyDescent="0.25">
      <c r="A6" s="1"/>
      <c r="B6" s="309" t="str">
        <f>CONCATENATE("Millions of Dollars ($",'I. Current &amp; Projected Spending'!$D$5,")")</f>
        <v>Millions of Dollars ($2021)</v>
      </c>
      <c r="C6" s="309"/>
      <c r="D6" s="208"/>
      <c r="E6" s="45" t="s">
        <v>7</v>
      </c>
      <c r="F6" s="63">
        <f t="shared" ref="F6:F17" si="0">(1-$B$20)*IF($L$21=1,$L$19*$K6,$L$20*$K6)</f>
        <v>1.0025717132373877E-2</v>
      </c>
      <c r="G6" s="63">
        <f t="shared" ref="G6:G17" si="1">$B$20*IF($L$21=1,$L$19*$K6,$L$20*$K6)</f>
        <v>4.0102868529495517E-2</v>
      </c>
      <c r="H6" s="60">
        <f>$S$21*S6</f>
        <v>10656621.753796149</v>
      </c>
      <c r="I6" s="4">
        <f>H6*(1+'IV(A). Financing by Income Tax'!$B$20)^(I$5-H$5)</f>
        <v>14502189.786451126</v>
      </c>
      <c r="J6" s="2">
        <v>5000</v>
      </c>
      <c r="K6" s="27">
        <f t="shared" ref="K6:K17" si="2">(1 + EXP((-J6/$J$23+$J$24)))^-1</f>
        <v>0.43782349911420193</v>
      </c>
      <c r="L6" s="60">
        <f>'IV(B). Financing by Payroll Tax'!K6*I6</f>
        <v>6349399.4771222724</v>
      </c>
      <c r="M6" s="36"/>
      <c r="R6" s="2">
        <f>40749*(1-5*S19)</f>
        <v>32599.200000000001</v>
      </c>
      <c r="S6" s="4">
        <f t="shared" ref="S6:S16" si="3">R6*J6/1000</f>
        <v>162996</v>
      </c>
      <c r="T6" s="1"/>
      <c r="U6" s="1"/>
      <c r="V6" s="357"/>
      <c r="W6" s="1" t="s">
        <v>185</v>
      </c>
      <c r="X6" s="66">
        <v>37247.90518790012</v>
      </c>
      <c r="Y6" s="69">
        <v>45084.901379566392</v>
      </c>
      <c r="Z6" s="56">
        <v>165886</v>
      </c>
      <c r="AA6" s="56"/>
      <c r="AB6" s="4">
        <v>29000</v>
      </c>
      <c r="AC6" s="54">
        <v>-0.17499999999999999</v>
      </c>
    </row>
    <row r="7" spans="1:29" ht="15" customHeight="1" x14ac:dyDescent="0.25">
      <c r="A7" s="3" t="s">
        <v>46</v>
      </c>
      <c r="B7" s="43"/>
      <c r="C7" s="10">
        <f>'III. Added Costs &amp; Net Savings'!$E$17</f>
        <v>245837.81885433116</v>
      </c>
      <c r="D7" s="208"/>
      <c r="E7" s="45" t="s">
        <v>91</v>
      </c>
      <c r="F7" s="63">
        <f t="shared" si="0"/>
        <v>1.2873275618489794E-2</v>
      </c>
      <c r="G7" s="63">
        <f t="shared" si="1"/>
        <v>5.149310247395919E-2</v>
      </c>
      <c r="H7" s="60">
        <f t="shared" ref="H7:H17" si="4">$S$21*S7</f>
        <v>23804875.120401949</v>
      </c>
      <c r="I7" s="4">
        <f>H7*(1+'IV(A). Financing by Income Tax'!$B$20)^(I$5-H$5)</f>
        <v>32395145.930356476</v>
      </c>
      <c r="J7" s="2">
        <v>15000</v>
      </c>
      <c r="K7" s="27">
        <f t="shared" si="2"/>
        <v>0.56217650088579807</v>
      </c>
      <c r="L7" s="60">
        <f>'IV(B). Financing by Payroll Tax'!K7*I7</f>
        <v>18211789.784812607</v>
      </c>
      <c r="M7" s="36"/>
      <c r="R7" s="2">
        <f>28897*(1-4*S19)</f>
        <v>24273.48</v>
      </c>
      <c r="S7" s="4">
        <f t="shared" si="3"/>
        <v>364102.2</v>
      </c>
      <c r="T7" s="1"/>
      <c r="V7" s="47">
        <f>VLOOKUP(UPPER($A$1),$W$6:$X$57,2,FALSE)</f>
        <v>40987.959802806217</v>
      </c>
      <c r="W7" s="1" t="s">
        <v>104</v>
      </c>
      <c r="X7" s="66">
        <v>33729.087048832269</v>
      </c>
      <c r="Y7" s="69">
        <v>36902.542372881355</v>
      </c>
      <c r="Z7" s="56">
        <v>2355</v>
      </c>
      <c r="AA7" s="56"/>
      <c r="AB7" s="4">
        <v>29500</v>
      </c>
      <c r="AC7" s="54">
        <v>-0.16</v>
      </c>
    </row>
    <row r="8" spans="1:29" ht="15" customHeight="1" x14ac:dyDescent="0.25">
      <c r="A8" s="3" t="s">
        <v>47</v>
      </c>
      <c r="B8" s="10"/>
      <c r="C8" s="19">
        <f>'IV(A). Financing by Income Tax'!$D$25</f>
        <v>6376.3315366026445</v>
      </c>
      <c r="D8" s="208"/>
      <c r="E8" s="45" t="s">
        <v>92</v>
      </c>
      <c r="F8" s="63">
        <f t="shared" si="0"/>
        <v>1.555250810895834E-2</v>
      </c>
      <c r="G8" s="63">
        <f t="shared" si="1"/>
        <v>6.2210032435833375E-2</v>
      </c>
      <c r="H8" s="60">
        <f t="shared" si="4"/>
        <v>33074912.139119565</v>
      </c>
      <c r="I8" s="4">
        <f>H8*(1+'IV(A). Financing by Income Tax'!$B$20)^(I$5-H$5)</f>
        <v>45010385.4761329</v>
      </c>
      <c r="J8" s="2">
        <v>25000</v>
      </c>
      <c r="K8" s="27">
        <f t="shared" si="2"/>
        <v>0.67917869917539297</v>
      </c>
      <c r="L8" s="60">
        <f>'IV(B). Financing by Payroll Tax'!K8*I8</f>
        <v>30570095.057062943</v>
      </c>
      <c r="M8" s="36"/>
      <c r="R8" s="2">
        <f>22995*(1-3*S19)</f>
        <v>20235.599999999999</v>
      </c>
      <c r="S8" s="4">
        <f t="shared" si="3"/>
        <v>505889.99999999994</v>
      </c>
      <c r="T8" s="1"/>
      <c r="W8" s="1" t="s">
        <v>105</v>
      </c>
      <c r="X8" s="66">
        <v>39375</v>
      </c>
      <c r="Y8" s="69">
        <v>47290.697674418603</v>
      </c>
      <c r="Z8" s="56">
        <v>400</v>
      </c>
      <c r="AA8" s="56"/>
      <c r="AB8" s="4">
        <v>30000</v>
      </c>
      <c r="AC8" s="54">
        <v>-0.14499999999999999</v>
      </c>
    </row>
    <row r="9" spans="1:29" ht="15" customHeight="1" x14ac:dyDescent="0.25">
      <c r="A9" s="37" t="s">
        <v>49</v>
      </c>
      <c r="B9" s="18"/>
      <c r="C9" s="40">
        <f>SUM(C7:C8)</f>
        <v>252214.15039093379</v>
      </c>
      <c r="D9" s="208"/>
      <c r="E9" s="45" t="s">
        <v>93</v>
      </c>
      <c r="F9" s="63">
        <f t="shared" si="0"/>
        <v>1.7799383886286588E-2</v>
      </c>
      <c r="G9" s="63">
        <f t="shared" si="1"/>
        <v>7.1197535545146379E-2</v>
      </c>
      <c r="H9" s="60">
        <f t="shared" si="4"/>
        <v>40123479.342930794</v>
      </c>
      <c r="I9" s="4">
        <f>H9*(1+'IV(A). Financing by Income Tax'!$B$20)^(I$5-H$5)</f>
        <v>54602511.543271616</v>
      </c>
      <c r="J9" s="2">
        <v>35000</v>
      </c>
      <c r="K9" s="27">
        <f t="shared" si="2"/>
        <v>0.77729986117469108</v>
      </c>
      <c r="L9" s="60">
        <f>'IV(B). Financing by Payroll Tax'!K9*I9</f>
        <v>42442524.642374493</v>
      </c>
      <c r="M9" s="36"/>
      <c r="N9" s="64">
        <f>'IV(A). Financing by Income Tax'!$P$18*'IV(A). Financing by Income Tax'!$P8/1000</f>
        <v>156.34811747760114</v>
      </c>
      <c r="R9" s="2">
        <f>19059*(1-2*S19)</f>
        <v>17534.280000000002</v>
      </c>
      <c r="S9" s="4">
        <f t="shared" si="3"/>
        <v>613699.80000000016</v>
      </c>
      <c r="T9" s="1"/>
      <c r="W9" s="1" t="s">
        <v>106</v>
      </c>
      <c r="X9" s="66">
        <v>35638.244514106584</v>
      </c>
      <c r="Y9" s="69">
        <v>40693.55847404628</v>
      </c>
      <c r="Z9" s="56">
        <v>3190</v>
      </c>
      <c r="AA9" s="56"/>
      <c r="AB9" s="4">
        <v>30500</v>
      </c>
      <c r="AC9" s="54">
        <v>-0.13</v>
      </c>
    </row>
    <row r="10" spans="1:29" ht="15" customHeight="1" x14ac:dyDescent="0.25">
      <c r="A10" s="3" t="s">
        <v>241</v>
      </c>
      <c r="E10" s="45" t="s">
        <v>94</v>
      </c>
      <c r="F10" s="63">
        <f t="shared" si="0"/>
        <v>1.9508861036350335E-2</v>
      </c>
      <c r="G10" s="63">
        <f t="shared" si="1"/>
        <v>7.8035444145401367E-2</v>
      </c>
      <c r="H10" s="60">
        <f t="shared" si="4"/>
        <v>41332283.7283509</v>
      </c>
      <c r="I10" s="4">
        <f>H10*(1+'IV(A). Financing by Income Tax'!$B$20)^(I$5-H$5)</f>
        <v>56247527.291889332</v>
      </c>
      <c r="J10" s="2">
        <v>45000</v>
      </c>
      <c r="K10" s="27">
        <f t="shared" si="2"/>
        <v>0.85195280196831058</v>
      </c>
      <c r="L10" s="60">
        <f>'IV(B). Financing by Payroll Tax'!K10*I10</f>
        <v>47920238.48011414</v>
      </c>
      <c r="M10" s="36"/>
      <c r="N10" s="64">
        <f>'IV(A). Financing by Income Tax'!$P$18*'IV(A). Financing by Income Tax'!$P9/1000</f>
        <v>713.53361788293967</v>
      </c>
      <c r="R10" s="2">
        <f>14634*(1-S19)</f>
        <v>14048.64</v>
      </c>
      <c r="S10" s="4">
        <f t="shared" si="3"/>
        <v>632188.80000000005</v>
      </c>
      <c r="T10" s="1"/>
      <c r="W10" s="1" t="s">
        <v>107</v>
      </c>
      <c r="X10" s="66">
        <v>30812.797821647378</v>
      </c>
      <c r="Y10" s="69">
        <v>34445.652173913048</v>
      </c>
      <c r="Z10" s="56">
        <v>1469</v>
      </c>
      <c r="AA10" s="56"/>
      <c r="AB10" s="4">
        <v>31000</v>
      </c>
      <c r="AC10" s="54">
        <v>-0.12</v>
      </c>
    </row>
    <row r="11" spans="1:29" ht="15" customHeight="1" x14ac:dyDescent="0.25">
      <c r="A11" s="1" t="s">
        <v>242</v>
      </c>
      <c r="B11" s="10">
        <f>'I. Current &amp; Projected Spending'!D15</f>
        <v>61637.80976844117</v>
      </c>
      <c r="C11" s="1"/>
      <c r="D11" s="208"/>
      <c r="E11" s="45" t="s">
        <v>95</v>
      </c>
      <c r="F11" s="63">
        <f t="shared" si="0"/>
        <v>2.0715586045340233E-2</v>
      </c>
      <c r="G11" s="63">
        <f t="shared" si="1"/>
        <v>8.2862344181360958E-2</v>
      </c>
      <c r="H11" s="60">
        <f t="shared" si="4"/>
        <v>39745271.1321688</v>
      </c>
      <c r="I11" s="4">
        <f>H11*(1+'IV(A). Financing by Income Tax'!$B$20)^(I$5-H$5)</f>
        <v>54087822.425276913</v>
      </c>
      <c r="J11" s="2">
        <v>55000</v>
      </c>
      <c r="K11" s="27">
        <f t="shared" si="2"/>
        <v>0.90465053510089055</v>
      </c>
      <c r="L11" s="60">
        <f>'IV(B). Financing by Payroll Tax'!K11*I11</f>
        <v>48930577.499468707</v>
      </c>
      <c r="M11" s="36"/>
      <c r="N11" s="64">
        <f>'IV(A). Financing by Income Tax'!$P$18*'IV(A). Financing by Income Tax'!$P10/1000</f>
        <v>1432.3043895424526</v>
      </c>
      <c r="R11" s="2">
        <v>11053</v>
      </c>
      <c r="S11" s="4">
        <f t="shared" si="3"/>
        <v>607915</v>
      </c>
      <c r="T11" s="1"/>
      <c r="W11" s="1" t="s">
        <v>108</v>
      </c>
      <c r="X11" s="66">
        <v>40026.582625376817</v>
      </c>
      <c r="Y11" s="69">
        <v>53068.08821229342</v>
      </c>
      <c r="Z11" s="56">
        <v>18245</v>
      </c>
      <c r="AA11" s="56"/>
      <c r="AB11" s="4">
        <v>31500</v>
      </c>
      <c r="AC11" s="54">
        <v>-0.111</v>
      </c>
    </row>
    <row r="12" spans="1:29" ht="15" customHeight="1" x14ac:dyDescent="0.25">
      <c r="A12" s="1" t="s">
        <v>243</v>
      </c>
      <c r="B12" s="10">
        <f>'I. Current &amp; Projected Spending'!D16</f>
        <v>73895.15562734683</v>
      </c>
      <c r="C12" s="1"/>
      <c r="D12" s="208"/>
      <c r="E12" s="45" t="s">
        <v>96</v>
      </c>
      <c r="F12" s="63">
        <f t="shared" si="0"/>
        <v>2.1523068984105387E-2</v>
      </c>
      <c r="G12" s="63">
        <f t="shared" si="1"/>
        <v>8.6092275936421575E-2</v>
      </c>
      <c r="H12" s="60">
        <f t="shared" si="4"/>
        <v>35569459.684407443</v>
      </c>
      <c r="I12" s="4">
        <f>H12*(1+'IV(A). Financing by Income Tax'!$B$20)^(I$5-H$5)</f>
        <v>48405120.014796957</v>
      </c>
      <c r="J12" s="2">
        <v>65000</v>
      </c>
      <c r="K12" s="27">
        <f t="shared" si="2"/>
        <v>0.93991334982599239</v>
      </c>
      <c r="L12" s="60">
        <f>'IV(B). Financing by Payroll Tax'!K12*I12</f>
        <v>45496618.501837</v>
      </c>
      <c r="M12" s="36"/>
      <c r="N12" s="64">
        <f>'IV(A). Financing by Income Tax'!$P$18*'IV(A). Financing by Income Tax'!$P11/1000</f>
        <v>2008.2866999759681</v>
      </c>
      <c r="R12" s="2">
        <f>8048*(1+S19)</f>
        <v>8369.92</v>
      </c>
      <c r="S12" s="4">
        <f t="shared" si="3"/>
        <v>544044.80000000005</v>
      </c>
      <c r="T12" s="1"/>
      <c r="W12" s="1" t="s">
        <v>109</v>
      </c>
      <c r="X12" s="66">
        <v>39005.761613251714</v>
      </c>
      <c r="Y12" s="69">
        <v>47589.537223340041</v>
      </c>
      <c r="Z12" s="56">
        <v>2777</v>
      </c>
      <c r="AA12" s="56"/>
      <c r="AB12" s="4">
        <v>32000</v>
      </c>
      <c r="AC12" s="54">
        <v>-0.1</v>
      </c>
    </row>
    <row r="13" spans="1:29" ht="13.5" customHeight="1" x14ac:dyDescent="0.25">
      <c r="A13" s="1" t="s">
        <v>244</v>
      </c>
      <c r="B13" s="26">
        <f>'I. Current &amp; Projected Spending'!$D$18</f>
        <v>22184.387572602966</v>
      </c>
      <c r="C13" s="1"/>
      <c r="D13" s="208"/>
      <c r="E13" s="45" t="s">
        <v>97</v>
      </c>
      <c r="F13" s="63">
        <f t="shared" si="0"/>
        <v>2.2044244628158148E-2</v>
      </c>
      <c r="G13" s="63">
        <f t="shared" si="1"/>
        <v>8.817697851263262E-2</v>
      </c>
      <c r="H13" s="60">
        <f t="shared" si="4"/>
        <v>31975749.430066463</v>
      </c>
      <c r="I13" s="4">
        <f>H13*(1+'IV(A). Financing by Income Tax'!$B$20)^(I$5-H$5)</f>
        <v>43514576.899911307</v>
      </c>
      <c r="J13" s="2">
        <v>75000</v>
      </c>
      <c r="K13" s="27">
        <f t="shared" si="2"/>
        <v>0.96267311265587063</v>
      </c>
      <c r="L13" s="60">
        <f>'IV(B). Financing by Payroll Tax'!K13*I13</f>
        <v>41890313.190140866</v>
      </c>
      <c r="M13" s="36"/>
      <c r="N13" s="64">
        <f>'IV(A). Financing by Income Tax'!$P$18*'IV(A). Financing by Income Tax'!$P12/1000</f>
        <v>2152.9913589277853</v>
      </c>
      <c r="R13" s="2">
        <f>6038*(1+2*S19)</f>
        <v>6521.0400000000009</v>
      </c>
      <c r="S13" s="4">
        <f t="shared" si="3"/>
        <v>489078.00000000006</v>
      </c>
      <c r="T13" s="1"/>
      <c r="W13" s="1" t="s">
        <v>110</v>
      </c>
      <c r="X13" s="66">
        <v>43716.725263686589</v>
      </c>
      <c r="Y13" s="69">
        <v>66143.697891123098</v>
      </c>
      <c r="Z13" s="56">
        <v>1991</v>
      </c>
      <c r="AA13" s="56"/>
      <c r="AB13" s="4">
        <v>32500</v>
      </c>
      <c r="AC13" s="54">
        <v>-0.09</v>
      </c>
    </row>
    <row r="14" spans="1:29" ht="17.25" customHeight="1" x14ac:dyDescent="0.25">
      <c r="A14" s="36" t="s">
        <v>245</v>
      </c>
      <c r="B14" s="26">
        <f>IF('III. Added Costs &amp; Net Savings'!$I$63=2,0.33*'I. Current &amp; Projected Spending'!$D19,0)</f>
        <v>0</v>
      </c>
      <c r="D14" s="208"/>
      <c r="E14" s="45" t="s">
        <v>98</v>
      </c>
      <c r="F14" s="63">
        <f t="shared" si="0"/>
        <v>2.237283412386008E-2</v>
      </c>
      <c r="G14" s="63">
        <f t="shared" si="1"/>
        <v>8.9491336495440346E-2</v>
      </c>
      <c r="H14" s="60">
        <f t="shared" si="4"/>
        <v>27952625.621534377</v>
      </c>
      <c r="I14" s="4">
        <f>H14*(1+'IV(A). Financing by Income Tax'!$B$20)^(I$5-H$5)</f>
        <v>38039661.269642383</v>
      </c>
      <c r="J14" s="2">
        <v>85000</v>
      </c>
      <c r="K14" s="27">
        <f t="shared" si="2"/>
        <v>0.97702263008997436</v>
      </c>
      <c r="L14" s="60">
        <f>'IV(B). Financing by Payroll Tax'!K14*I14</f>
        <v>37165609.901397735</v>
      </c>
      <c r="M14" s="36"/>
      <c r="N14" s="64">
        <f>'IV(A). Financing by Income Tax'!$P$18*'IV(A). Financing by Income Tax'!$P13/1000</f>
        <v>5266.1622074381012</v>
      </c>
      <c r="R14" s="2">
        <f>4491*(1+3*S19)</f>
        <v>5029.92</v>
      </c>
      <c r="S14" s="4">
        <f t="shared" si="3"/>
        <v>427543.2</v>
      </c>
      <c r="T14" s="1"/>
      <c r="W14" s="1" t="s">
        <v>111</v>
      </c>
      <c r="X14" s="66">
        <v>39146.484375</v>
      </c>
      <c r="Y14" s="69">
        <v>45421.052631578947</v>
      </c>
      <c r="Z14" s="56">
        <v>512</v>
      </c>
      <c r="AA14" s="56"/>
      <c r="AB14" s="4">
        <v>33000</v>
      </c>
      <c r="AC14" s="54">
        <v>-0.08</v>
      </c>
    </row>
    <row r="15" spans="1:29" ht="15" customHeight="1" x14ac:dyDescent="0.25">
      <c r="A15" s="234" t="s">
        <v>246</v>
      </c>
      <c r="B15" s="93"/>
      <c r="C15" s="243">
        <f>-SUM(B11:B14)</f>
        <v>-157717.35296839097</v>
      </c>
      <c r="D15" s="208"/>
      <c r="E15" s="45" t="s">
        <v>99</v>
      </c>
      <c r="F15" s="63">
        <f t="shared" si="0"/>
        <v>2.2576949857149541E-2</v>
      </c>
      <c r="G15" s="63">
        <f t="shared" si="1"/>
        <v>9.0307799428598179E-2</v>
      </c>
      <c r="H15" s="60">
        <f t="shared" si="4"/>
        <v>24712593.13253326</v>
      </c>
      <c r="I15" s="4">
        <f>H15*(1+'IV(A). Financing by Income Tax'!$B$20)^(I$5-H$5)</f>
        <v>33630424.725892134</v>
      </c>
      <c r="J15" s="2">
        <v>95000</v>
      </c>
      <c r="K15" s="27">
        <f t="shared" si="2"/>
        <v>0.9859363729567544</v>
      </c>
      <c r="L15" s="60">
        <f>'IV(B). Financing by Payroll Tax'!K15*I15</f>
        <v>33157458.975241244</v>
      </c>
      <c r="M15" s="36"/>
      <c r="N15" s="64">
        <f>'IV(A). Financing by Income Tax'!$P$18*'IV(A). Financing by Income Tax'!$P14/1000</f>
        <v>4432.2295528712348</v>
      </c>
      <c r="R15" s="2">
        <f>3430*(1+4*S19)</f>
        <v>3978.7999999999997</v>
      </c>
      <c r="S15" s="4">
        <f t="shared" si="3"/>
        <v>377986</v>
      </c>
      <c r="T15" s="1"/>
      <c r="W15" s="1" t="s">
        <v>112</v>
      </c>
      <c r="X15" s="66">
        <v>50288.220551378443</v>
      </c>
      <c r="Y15" s="69">
        <v>69136.47642679901</v>
      </c>
      <c r="Z15" s="56">
        <v>399</v>
      </c>
      <c r="AA15" s="56"/>
      <c r="AB15" s="4">
        <v>33500</v>
      </c>
      <c r="AC15" s="54">
        <v>-7.0000000000000007E-2</v>
      </c>
    </row>
    <row r="16" spans="1:29" ht="15" customHeight="1" x14ac:dyDescent="0.25">
      <c r="A16" s="37" t="s">
        <v>204</v>
      </c>
      <c r="B16" s="93"/>
      <c r="C16" s="38">
        <f>C7+C15+C8</f>
        <v>94496.797422542833</v>
      </c>
      <c r="D16" s="208"/>
      <c r="E16" s="45" t="s">
        <v>100</v>
      </c>
      <c r="F16" s="63">
        <f t="shared" si="0"/>
        <v>2.2702576974554443E-2</v>
      </c>
      <c r="G16" s="63">
        <f t="shared" si="1"/>
        <v>9.0810307898217799E-2</v>
      </c>
      <c r="H16" s="60">
        <f t="shared" si="4"/>
        <v>35060230.651081666</v>
      </c>
      <c r="I16" s="4">
        <f>H16*(1+'IV(A). Financing by Income Tax'!$B$20)^(I$5-H$5)</f>
        <v>47712129.660378993</v>
      </c>
      <c r="J16" s="2">
        <v>105000</v>
      </c>
      <c r="K16" s="27">
        <f t="shared" si="2"/>
        <v>0.99142251458628805</v>
      </c>
      <c r="L16" s="60">
        <f>'IV(B). Financing by Payroll Tax'!K16*I16</f>
        <v>47302879.56415996</v>
      </c>
      <c r="M16" s="36"/>
      <c r="N16" s="64">
        <f>'IV(A). Financing by Income Tax'!$P$18*'IV(A). Financing by Income Tax'!$P15/1000</f>
        <v>2686.8463145424103</v>
      </c>
      <c r="R16" s="2">
        <f>4256*(1+5*S19)</f>
        <v>5107.2</v>
      </c>
      <c r="S16" s="4">
        <f t="shared" si="3"/>
        <v>536256</v>
      </c>
      <c r="T16" s="1"/>
      <c r="W16" s="1" t="s">
        <v>113</v>
      </c>
      <c r="X16" s="66">
        <v>33421.493513126981</v>
      </c>
      <c r="Y16" s="69">
        <v>39033.47874606878</v>
      </c>
      <c r="Z16" s="56">
        <v>9789</v>
      </c>
      <c r="AA16" s="56"/>
      <c r="AB16" s="4">
        <v>34000</v>
      </c>
      <c r="AC16" s="54">
        <v>-0.06</v>
      </c>
    </row>
    <row r="17" spans="1:29" ht="15" customHeight="1" x14ac:dyDescent="0.25">
      <c r="A17" s="1"/>
      <c r="B17" s="18"/>
      <c r="C17" s="1"/>
      <c r="D17" s="208"/>
      <c r="E17" s="45" t="s">
        <v>101</v>
      </c>
      <c r="F17" s="63">
        <f t="shared" si="0"/>
        <v>2.2790778692238754E-2</v>
      </c>
      <c r="G17" s="63">
        <f t="shared" si="1"/>
        <v>9.1163114768955042E-2</v>
      </c>
      <c r="H17" s="67">
        <f t="shared" si="4"/>
        <v>84996682.542027101</v>
      </c>
      <c r="I17" s="14">
        <f>H17*(1+'IV(A). Financing by Income Tax'!$B$20)^(I$5-H$5)</f>
        <v>115668740.98765102</v>
      </c>
      <c r="J17" s="2">
        <v>117000</v>
      </c>
      <c r="K17" s="27">
        <f t="shared" si="2"/>
        <v>0.9952742873976046</v>
      </c>
      <c r="L17" s="61">
        <f>'IV(B). Financing by Payroll Tax'!K17*I17</f>
        <v>115122123.76066247</v>
      </c>
      <c r="M17" s="36"/>
      <c r="N17" s="65">
        <f>'IV(A). Financing by Income Tax'!$P$18*'IV(A). Financing by Income Tax'!$P16/1000</f>
        <v>16733.609111054844</v>
      </c>
      <c r="R17" s="46">
        <f>10148*(1+6*S19)</f>
        <v>12583.52</v>
      </c>
      <c r="S17" s="14">
        <f>(Y6-X6)*Z6/1000</f>
        <v>1300047.9502507513</v>
      </c>
      <c r="W17" s="1" t="s">
        <v>114</v>
      </c>
      <c r="X17" s="66">
        <v>35030.260521042081</v>
      </c>
      <c r="Y17" s="69">
        <v>41215.324165029473</v>
      </c>
      <c r="Z17" s="56">
        <v>4990</v>
      </c>
      <c r="AA17" s="56"/>
      <c r="AB17" s="4">
        <v>34500</v>
      </c>
      <c r="AC17" s="54">
        <v>-0.05</v>
      </c>
    </row>
    <row r="18" spans="1:29" ht="17.25" customHeight="1" x14ac:dyDescent="0.25">
      <c r="A18" s="240" t="s">
        <v>209</v>
      </c>
      <c r="B18" s="257"/>
      <c r="D18" s="208"/>
      <c r="E18" s="1"/>
      <c r="F18" s="1"/>
      <c r="G18" s="1"/>
      <c r="H18" s="60">
        <f>SUM(H5:H17)</f>
        <v>429006798.27841848</v>
      </c>
      <c r="I18" s="4">
        <f>H18*(1+'IV(A). Financing by Income Tax'!$B$20)^(I$5-H$5)</f>
        <v>583818976.78737772</v>
      </c>
      <c r="L18" s="4">
        <f>SUM(L6:L17)</f>
        <v>514559628.83439434</v>
      </c>
      <c r="N18" s="70">
        <f>SUM(N9:N17)</f>
        <v>35582.311369713338</v>
      </c>
      <c r="R18" s="2">
        <f>SUM(R6:R17)</f>
        <v>161334.6</v>
      </c>
      <c r="S18" s="4">
        <f>SUM(S6:S17)</f>
        <v>6561747.7502507512</v>
      </c>
      <c r="W18" s="1" t="s">
        <v>115</v>
      </c>
      <c r="X18" s="66">
        <v>37572.171651495446</v>
      </c>
      <c r="Y18" s="69">
        <v>40385.696040868454</v>
      </c>
      <c r="Z18" s="56">
        <v>769</v>
      </c>
      <c r="AA18" s="56"/>
      <c r="AB18" s="4">
        <v>35000</v>
      </c>
      <c r="AC18" s="54">
        <v>-0.04</v>
      </c>
    </row>
    <row r="19" spans="1:29" ht="15" customHeight="1" x14ac:dyDescent="0.25">
      <c r="D19" s="208"/>
      <c r="E19" s="227"/>
      <c r="F19" s="228"/>
      <c r="G19" s="1"/>
      <c r="K19" s="55" t="s">
        <v>207</v>
      </c>
      <c r="L19" s="62">
        <f>($C$16-N18)/$L$18*1000</f>
        <v>0.11449496375431838</v>
      </c>
      <c r="O19" s="356" t="s">
        <v>89</v>
      </c>
      <c r="P19" s="356"/>
      <c r="Q19" s="356"/>
      <c r="R19" s="360"/>
      <c r="S19" s="3">
        <f>VLOOKUP($V$7,AB$6:AC$41,2,TRUE)</f>
        <v>0.04</v>
      </c>
      <c r="W19" s="1" t="s">
        <v>116</v>
      </c>
      <c r="X19" s="66">
        <v>31168.862275449101</v>
      </c>
      <c r="Y19" s="69">
        <v>38410.287081339709</v>
      </c>
      <c r="Z19" s="56">
        <v>835</v>
      </c>
      <c r="AA19" s="56"/>
      <c r="AB19" s="4">
        <v>35500</v>
      </c>
      <c r="AC19" s="54">
        <v>-0.03</v>
      </c>
    </row>
    <row r="20" spans="1:29" ht="15" customHeight="1" x14ac:dyDescent="0.3">
      <c r="A20" s="241" t="s">
        <v>212</v>
      </c>
      <c r="B20" s="278">
        <v>0.8</v>
      </c>
      <c r="D20" s="1"/>
      <c r="E20" s="1"/>
      <c r="F20" s="1"/>
      <c r="G20" s="1"/>
      <c r="K20" s="71" t="s">
        <v>208</v>
      </c>
      <c r="L20" s="62">
        <f>($C$16)/$L$18*1000</f>
        <v>0.18364596079292425</v>
      </c>
      <c r="N20" s="355" t="s">
        <v>154</v>
      </c>
      <c r="O20" s="356"/>
      <c r="P20" s="356"/>
      <c r="Q20" s="356"/>
      <c r="R20" s="356"/>
      <c r="S20" s="47">
        <f>S18/R18*1000</f>
        <v>40671.670864468942</v>
      </c>
      <c r="W20" s="1" t="s">
        <v>117</v>
      </c>
      <c r="X20" s="66">
        <v>38110.150544045311</v>
      </c>
      <c r="Y20" s="69">
        <v>47825.344431687721</v>
      </c>
      <c r="Z20" s="56">
        <v>6709</v>
      </c>
      <c r="AA20" s="56"/>
      <c r="AB20" s="4">
        <v>36000</v>
      </c>
      <c r="AC20" s="54">
        <v>-0.02</v>
      </c>
    </row>
    <row r="21" spans="1:29" ht="15" customHeight="1" x14ac:dyDescent="0.25">
      <c r="D21" s="1"/>
      <c r="E21" s="1"/>
      <c r="F21" s="1"/>
      <c r="G21" s="1"/>
      <c r="K21" s="194" t="s">
        <v>210</v>
      </c>
      <c r="L21" s="197">
        <v>1</v>
      </c>
      <c r="N21" s="355" t="s">
        <v>160</v>
      </c>
      <c r="O21" s="356"/>
      <c r="P21" s="356"/>
      <c r="Q21" s="356"/>
      <c r="R21" s="356"/>
      <c r="S21" s="59">
        <f>VLOOKUP(UPPER($A$1),$W$6:$Z$57,4,FALSE)/$R$18*1000</f>
        <v>65.37965197793902</v>
      </c>
      <c r="W21" s="1" t="s">
        <v>118</v>
      </c>
      <c r="X21" s="66">
        <v>33875.550660792956</v>
      </c>
      <c r="Y21" s="69">
        <v>37140.423193184943</v>
      </c>
      <c r="Z21" s="56">
        <v>3632</v>
      </c>
      <c r="AA21" s="56"/>
      <c r="AB21" s="4">
        <v>36500</v>
      </c>
      <c r="AC21" s="54">
        <v>-1.4999999999999999E-2</v>
      </c>
    </row>
    <row r="22" spans="1:29" ht="17.25" customHeight="1" x14ac:dyDescent="0.25">
      <c r="A22" s="23" t="s">
        <v>41</v>
      </c>
      <c r="B22" s="199">
        <v>2014</v>
      </c>
      <c r="C22" s="279" t="s">
        <v>18</v>
      </c>
      <c r="D22" s="279">
        <f>'I. Current &amp; Projected Spending'!$D$5</f>
        <v>2021</v>
      </c>
      <c r="E22" s="1"/>
      <c r="F22" s="1"/>
      <c r="G22" s="1"/>
      <c r="W22" s="1" t="s">
        <v>119</v>
      </c>
      <c r="X22" s="66">
        <v>34547.085201793721</v>
      </c>
      <c r="Y22" s="69">
        <v>37525.195968645014</v>
      </c>
      <c r="Z22" s="56">
        <v>1784</v>
      </c>
      <c r="AA22" s="56"/>
      <c r="AB22" s="4">
        <v>37000</v>
      </c>
      <c r="AC22" s="54">
        <v>-0.01</v>
      </c>
    </row>
    <row r="23" spans="1:29" ht="18.75" customHeight="1" x14ac:dyDescent="0.3">
      <c r="A23" s="1" t="s">
        <v>316</v>
      </c>
      <c r="B23" s="22">
        <f>VLOOKUP($A$1,'I. Current &amp; Projected Spending'!$AJ$6:'I. Current &amp; Projected Spending'!$AL$57,2,FALSE)*1000</f>
        <v>3278000</v>
      </c>
      <c r="C23" s="7">
        <f>VLOOKUP($A$1,'I. Current &amp; Projected Spending'!$AJ$6:'I. Current &amp; Projected Spending'!$AL$57,3,FALSE)/100</f>
        <v>1.1000000000000001E-2</v>
      </c>
      <c r="D23" s="22">
        <f>B23*(1+C23)^(D$22-B$22)</f>
        <v>3538889.7945190715</v>
      </c>
      <c r="I23" s="15" t="s">
        <v>52</v>
      </c>
      <c r="J23" s="41">
        <v>20000</v>
      </c>
      <c r="W23" s="1" t="s">
        <v>120</v>
      </c>
      <c r="X23" s="66">
        <v>35324.15519399249</v>
      </c>
      <c r="Y23" s="69">
        <v>40311.25</v>
      </c>
      <c r="Z23" s="56">
        <v>1598</v>
      </c>
      <c r="AA23" s="56"/>
      <c r="AB23" s="4">
        <v>37500</v>
      </c>
      <c r="AC23" s="54">
        <v>0</v>
      </c>
    </row>
    <row r="24" spans="1:29" ht="15" customHeight="1" x14ac:dyDescent="0.3">
      <c r="A24" s="1" t="s">
        <v>42</v>
      </c>
      <c r="B24" s="87">
        <f>12*105</f>
        <v>1260</v>
      </c>
      <c r="C24" s="7">
        <f>VLOOKUP($A$1,'I. Current &amp; Projected Spending'!$AB$6:'I. Current &amp; Projected Spending'!$AD$57,3,FALSE)/100-C23</f>
        <v>5.2999999999999999E-2</v>
      </c>
      <c r="D24" s="88">
        <f>B24*(1+C24)^(D$22-B$22)</f>
        <v>1808.7108483346453</v>
      </c>
      <c r="I24" s="15" t="s">
        <v>51</v>
      </c>
      <c r="J24" s="42">
        <v>0.5</v>
      </c>
      <c r="W24" s="1" t="s">
        <v>121</v>
      </c>
      <c r="X24" s="66">
        <v>31574.39134355275</v>
      </c>
      <c r="Y24" s="69">
        <v>34829.590488771464</v>
      </c>
      <c r="Z24" s="56">
        <v>2218</v>
      </c>
      <c r="AA24" s="56"/>
      <c r="AB24" s="4">
        <v>38000</v>
      </c>
      <c r="AC24" s="54">
        <v>7.0000000000000001E-3</v>
      </c>
    </row>
    <row r="25" spans="1:29" ht="15" customHeight="1" x14ac:dyDescent="0.3">
      <c r="A25" s="39" t="str">
        <f>CONCATENATE("Total Medicare Part B Premiums ($",'I. Current &amp; Projected Spending'!$D$5,"M)")</f>
        <v>Total Medicare Part B Premiums ($2021M)</v>
      </c>
      <c r="B25" s="10">
        <f>B24*B23/1000000</f>
        <v>4130.28</v>
      </c>
      <c r="C25" s="7">
        <f>SUM(C23:C24)</f>
        <v>6.4000000000000001E-2</v>
      </c>
      <c r="D25" s="242">
        <f>B25*(1+C25)^(D$22-B$22)</f>
        <v>6376.3315366026445</v>
      </c>
      <c r="W25" s="1" t="s">
        <v>122</v>
      </c>
      <c r="X25" s="66">
        <v>34367.337807606265</v>
      </c>
      <c r="Y25" s="69">
        <v>39559.682804674456</v>
      </c>
      <c r="Z25" s="56">
        <v>2235</v>
      </c>
      <c r="AA25" s="56"/>
      <c r="AB25" s="4">
        <v>38500</v>
      </c>
      <c r="AC25" s="54">
        <v>1.4999999999999999E-2</v>
      </c>
    </row>
    <row r="26" spans="1:29" ht="18.75" customHeight="1" x14ac:dyDescent="0.25">
      <c r="B26" s="93"/>
      <c r="W26" s="1" t="s">
        <v>63</v>
      </c>
      <c r="X26" s="66">
        <v>31645.690834473324</v>
      </c>
      <c r="Y26" s="69">
        <v>35548.429319371731</v>
      </c>
      <c r="Z26" s="56">
        <v>731</v>
      </c>
      <c r="AA26" s="56"/>
      <c r="AB26" s="4">
        <v>39000</v>
      </c>
      <c r="AC26" s="54">
        <v>0.02</v>
      </c>
    </row>
    <row r="27" spans="1:29" ht="16.5" customHeight="1" x14ac:dyDescent="0.25">
      <c r="A27" s="3" t="s">
        <v>87</v>
      </c>
      <c r="B27" s="93"/>
      <c r="C27" s="1"/>
      <c r="D27" s="1"/>
      <c r="W27" s="1" t="s">
        <v>123</v>
      </c>
      <c r="X27" s="66">
        <v>44945.031712473574</v>
      </c>
      <c r="Y27" s="69">
        <v>53653.39718647112</v>
      </c>
      <c r="Z27" s="56">
        <v>3311</v>
      </c>
      <c r="AA27" s="56"/>
      <c r="AB27" s="4">
        <v>39500</v>
      </c>
      <c r="AC27" s="54">
        <v>2.7E-2</v>
      </c>
    </row>
    <row r="28" spans="1:29" ht="18" customHeight="1" x14ac:dyDescent="0.25">
      <c r="A28" s="352" t="s">
        <v>86</v>
      </c>
      <c r="B28" s="317"/>
      <c r="C28" s="317"/>
      <c r="D28" s="317"/>
      <c r="W28" s="1" t="s">
        <v>124</v>
      </c>
      <c r="X28" s="66">
        <v>43336.950473010576</v>
      </c>
      <c r="Y28" s="69">
        <v>57405.007743933922</v>
      </c>
      <c r="Z28" s="56">
        <v>3594</v>
      </c>
      <c r="AA28" s="56"/>
      <c r="AB28" s="4">
        <v>40000</v>
      </c>
      <c r="AC28" s="54">
        <v>3.5000000000000003E-2</v>
      </c>
    </row>
    <row r="29" spans="1:29" ht="85.5" customHeight="1" x14ac:dyDescent="0.25">
      <c r="A29" s="352" t="s">
        <v>312</v>
      </c>
      <c r="B29" s="317"/>
      <c r="C29" s="317"/>
      <c r="D29" s="317"/>
      <c r="W29" s="1" t="s">
        <v>125</v>
      </c>
      <c r="X29" s="66">
        <v>35672.023233301064</v>
      </c>
      <c r="Y29" s="69">
        <v>40687.210200927359</v>
      </c>
      <c r="Z29" s="56">
        <v>5165</v>
      </c>
      <c r="AA29" s="56"/>
      <c r="AB29" s="4">
        <v>40500</v>
      </c>
      <c r="AC29" s="54">
        <v>0.04</v>
      </c>
    </row>
    <row r="30" spans="1:29" ht="22.5" customHeight="1" x14ac:dyDescent="0.25">
      <c r="A30" s="316" t="s">
        <v>315</v>
      </c>
      <c r="B30" s="317"/>
      <c r="C30" s="317"/>
      <c r="D30" s="317"/>
      <c r="W30" s="1" t="s">
        <v>126</v>
      </c>
      <c r="X30" s="66">
        <v>39482.032218091699</v>
      </c>
      <c r="Y30" s="69">
        <v>45671.821837302814</v>
      </c>
      <c r="Z30" s="56">
        <v>3228</v>
      </c>
      <c r="AA30" s="56"/>
      <c r="AB30" s="4">
        <v>41000</v>
      </c>
      <c r="AC30" s="54">
        <v>4.4999999999999998E-2</v>
      </c>
    </row>
    <row r="31" spans="1:29" ht="81.75" customHeight="1" x14ac:dyDescent="0.25">
      <c r="W31" s="1" t="s">
        <v>127</v>
      </c>
      <c r="X31" s="66">
        <v>30958.362248438581</v>
      </c>
      <c r="Y31" s="69">
        <v>33549.549549549549</v>
      </c>
      <c r="Z31" s="56">
        <v>1441</v>
      </c>
      <c r="AA31" s="56"/>
      <c r="AB31" s="4">
        <v>41500</v>
      </c>
      <c r="AC31" s="54">
        <v>5.1999999999999998E-2</v>
      </c>
    </row>
    <row r="32" spans="1:29" ht="18.75" customHeight="1" x14ac:dyDescent="0.25">
      <c r="W32" s="1" t="s">
        <v>128</v>
      </c>
      <c r="X32" s="66">
        <v>33154.826377827332</v>
      </c>
      <c r="Y32" s="69">
        <v>38365.625</v>
      </c>
      <c r="Z32" s="56">
        <v>3139</v>
      </c>
      <c r="AA32" s="56"/>
      <c r="AB32" s="4">
        <v>42000</v>
      </c>
      <c r="AC32" s="54">
        <v>5.8000000000000003E-2</v>
      </c>
    </row>
    <row r="33" spans="23:29" ht="18.75" customHeight="1" x14ac:dyDescent="0.25">
      <c r="W33" s="1" t="s">
        <v>129</v>
      </c>
      <c r="X33" s="66">
        <v>31022.648083623691</v>
      </c>
      <c r="Y33" s="69">
        <v>34194.782608695656</v>
      </c>
      <c r="Z33" s="56">
        <v>574</v>
      </c>
      <c r="AA33" s="56"/>
      <c r="AB33" s="4">
        <v>42500</v>
      </c>
      <c r="AC33" s="54">
        <v>6.3E-2</v>
      </c>
    </row>
    <row r="34" spans="23:29" ht="15" customHeight="1" x14ac:dyDescent="0.25">
      <c r="W34" s="1" t="s">
        <v>130</v>
      </c>
      <c r="X34" s="66">
        <v>34375.44483985765</v>
      </c>
      <c r="Y34" s="69">
        <v>39225.377107364686</v>
      </c>
      <c r="Z34" s="56">
        <v>1124</v>
      </c>
      <c r="AA34" s="56"/>
      <c r="AB34" s="4">
        <v>43000</v>
      </c>
      <c r="AC34" s="54">
        <v>6.8000000000000005E-2</v>
      </c>
    </row>
    <row r="35" spans="23:29" ht="15" customHeight="1" x14ac:dyDescent="0.25">
      <c r="W35" s="1" t="s">
        <v>131</v>
      </c>
      <c r="X35" s="66">
        <v>33255.778120184899</v>
      </c>
      <c r="Y35" s="69">
        <v>40485.940879596252</v>
      </c>
      <c r="Z35" s="56">
        <v>1298</v>
      </c>
      <c r="AA35" s="56"/>
      <c r="AB35" s="4">
        <v>43500</v>
      </c>
      <c r="AC35" s="54">
        <v>7.3999999999999996E-2</v>
      </c>
    </row>
    <row r="36" spans="23:29" ht="15" customHeight="1" x14ac:dyDescent="0.25">
      <c r="W36" s="1" t="s">
        <v>132</v>
      </c>
      <c r="X36" s="66">
        <v>40814.906832298133</v>
      </c>
      <c r="Y36" s="69">
        <v>47603.194103194102</v>
      </c>
      <c r="Z36" s="56">
        <v>805</v>
      </c>
      <c r="AA36" s="56"/>
      <c r="AB36" s="4">
        <v>44000</v>
      </c>
      <c r="AC36" s="54">
        <v>7.9000000000000001E-2</v>
      </c>
    </row>
    <row r="37" spans="23:29" ht="15" customHeight="1" x14ac:dyDescent="0.25">
      <c r="W37" s="1" t="s">
        <v>133</v>
      </c>
      <c r="X37" s="66">
        <v>45373.875715453796</v>
      </c>
      <c r="Y37" s="69">
        <v>59019.551934826886</v>
      </c>
      <c r="Z37" s="56">
        <v>4892</v>
      </c>
      <c r="AA37" s="56"/>
      <c r="AB37" s="4">
        <v>44500</v>
      </c>
      <c r="AC37" s="54">
        <v>8.4000000000000005E-2</v>
      </c>
    </row>
    <row r="38" spans="23:29" ht="15" customHeight="1" x14ac:dyDescent="0.25">
      <c r="W38" s="1" t="s">
        <v>134</v>
      </c>
      <c r="X38" s="66">
        <v>32590.163934426229</v>
      </c>
      <c r="Y38" s="69">
        <v>35009.155645981686</v>
      </c>
      <c r="Z38" s="56">
        <v>976</v>
      </c>
      <c r="AA38" s="56"/>
      <c r="AB38" s="4">
        <v>45000</v>
      </c>
      <c r="AC38" s="54">
        <v>8.8999999999999996E-2</v>
      </c>
    </row>
    <row r="39" spans="23:29" ht="15" customHeight="1" x14ac:dyDescent="0.25">
      <c r="W39" s="1" t="s">
        <v>135</v>
      </c>
      <c r="X39" s="66">
        <v>40987.959802806217</v>
      </c>
      <c r="Y39" s="69">
        <v>54598.009478672982</v>
      </c>
      <c r="Z39" s="56">
        <v>10548</v>
      </c>
      <c r="AA39" s="56"/>
      <c r="AB39" s="4">
        <v>45500</v>
      </c>
      <c r="AC39" s="54">
        <v>9.2999999999999999E-2</v>
      </c>
    </row>
    <row r="40" spans="23:29" ht="15" customHeight="1" x14ac:dyDescent="0.25">
      <c r="W40" s="1" t="s">
        <v>136</v>
      </c>
      <c r="X40" s="66">
        <v>34358.017377567143</v>
      </c>
      <c r="Y40" s="69">
        <v>38918.673509672321</v>
      </c>
      <c r="Z40" s="56">
        <v>5064</v>
      </c>
      <c r="AA40" s="56"/>
      <c r="AB40" s="4">
        <v>46000</v>
      </c>
      <c r="AC40" s="54">
        <v>9.8000000000000004E-2</v>
      </c>
    </row>
    <row r="41" spans="23:29" ht="15" customHeight="1" x14ac:dyDescent="0.25">
      <c r="W41" s="1" t="s">
        <v>137</v>
      </c>
      <c r="X41" s="66">
        <v>36954</v>
      </c>
      <c r="Y41" s="69">
        <v>41003.99201596807</v>
      </c>
      <c r="Z41" s="56">
        <v>500</v>
      </c>
      <c r="AA41" s="56"/>
      <c r="AB41" s="4">
        <v>50000</v>
      </c>
      <c r="AC41" s="54">
        <v>0.13</v>
      </c>
    </row>
    <row r="42" spans="23:29" ht="15" customHeight="1" x14ac:dyDescent="0.25">
      <c r="W42" s="1" t="s">
        <v>138</v>
      </c>
      <c r="X42" s="66">
        <v>33901.495616297063</v>
      </c>
      <c r="Y42" s="69">
        <v>40558.790947934802</v>
      </c>
      <c r="Z42" s="56">
        <v>5817</v>
      </c>
      <c r="AA42" s="56"/>
    </row>
    <row r="43" spans="23:29" ht="15" customHeight="1" x14ac:dyDescent="0.25">
      <c r="W43" s="1" t="s">
        <v>139</v>
      </c>
      <c r="X43" s="66">
        <v>33542.186719920115</v>
      </c>
      <c r="Y43" s="69">
        <v>36626.05668821482</v>
      </c>
      <c r="Z43" s="56">
        <v>2003</v>
      </c>
      <c r="AA43" s="56"/>
    </row>
    <row r="44" spans="23:29" ht="15" customHeight="1" x14ac:dyDescent="0.25">
      <c r="W44" s="1" t="s">
        <v>140</v>
      </c>
      <c r="X44" s="66">
        <v>36221.032132424538</v>
      </c>
      <c r="Y44" s="69">
        <v>40466.212931453578</v>
      </c>
      <c r="Z44" s="56">
        <v>2054</v>
      </c>
      <c r="AA44" s="56"/>
    </row>
    <row r="45" spans="23:29" ht="15" customHeight="1" x14ac:dyDescent="0.25">
      <c r="W45" s="1" t="s">
        <v>141</v>
      </c>
      <c r="X45" s="66">
        <v>38127.681159420288</v>
      </c>
      <c r="Y45" s="69">
        <v>44200.896083249027</v>
      </c>
      <c r="Z45" s="56">
        <v>6900</v>
      </c>
      <c r="AA45" s="56"/>
    </row>
    <row r="46" spans="23:29" ht="15" customHeight="1" x14ac:dyDescent="0.25">
      <c r="W46" s="1" t="s">
        <v>142</v>
      </c>
      <c r="X46" s="66">
        <v>37892.976588628764</v>
      </c>
      <c r="Y46" s="69">
        <v>43476.112026359144</v>
      </c>
      <c r="Z46" s="56">
        <v>598</v>
      </c>
      <c r="AA46" s="56"/>
    </row>
    <row r="47" spans="23:29" ht="15" customHeight="1" x14ac:dyDescent="0.25">
      <c r="W47" s="1" t="s">
        <v>143</v>
      </c>
      <c r="X47" s="66">
        <v>33070.778145695367</v>
      </c>
      <c r="Y47" s="69">
        <v>36597.682119205296</v>
      </c>
      <c r="Z47" s="56">
        <v>2416</v>
      </c>
      <c r="AA47" s="56"/>
    </row>
    <row r="48" spans="23:29" ht="15" customHeight="1" x14ac:dyDescent="0.25">
      <c r="W48" s="1" t="s">
        <v>144</v>
      </c>
      <c r="X48" s="66">
        <v>29066.037735849059</v>
      </c>
      <c r="Y48" s="69">
        <v>31937.106918238991</v>
      </c>
      <c r="Z48" s="56">
        <v>636</v>
      </c>
      <c r="AA48" s="56"/>
    </row>
    <row r="49" spans="23:27" ht="15" customHeight="1" x14ac:dyDescent="0.25">
      <c r="W49" s="1" t="s">
        <v>145</v>
      </c>
      <c r="X49" s="66">
        <v>33395.975140574141</v>
      </c>
      <c r="Y49" s="69">
        <v>40009.133765468476</v>
      </c>
      <c r="Z49" s="56">
        <v>3379</v>
      </c>
      <c r="AA49" s="56"/>
    </row>
    <row r="50" spans="23:27" ht="15" customHeight="1" x14ac:dyDescent="0.25">
      <c r="W50" s="1" t="s">
        <v>146</v>
      </c>
      <c r="X50" s="66">
        <v>37834.935897435898</v>
      </c>
      <c r="Y50" s="69">
        <v>45891.280713198517</v>
      </c>
      <c r="Z50" s="56">
        <v>13104</v>
      </c>
      <c r="AA50" s="56"/>
    </row>
    <row r="51" spans="23:27" ht="15" customHeight="1" x14ac:dyDescent="0.25">
      <c r="W51" s="1" t="s">
        <v>147</v>
      </c>
      <c r="X51" s="66">
        <v>34446.06221045665</v>
      </c>
      <c r="Y51" s="69">
        <v>40187.870797626892</v>
      </c>
      <c r="Z51" s="56">
        <v>1511</v>
      </c>
      <c r="AA51" s="56"/>
    </row>
    <row r="52" spans="23:27" ht="15" customHeight="1" x14ac:dyDescent="0.25">
      <c r="W52" s="1" t="s">
        <v>148</v>
      </c>
      <c r="X52" s="66">
        <v>34177.83505154639</v>
      </c>
      <c r="Y52" s="69">
        <v>44231.958762886599</v>
      </c>
      <c r="Z52" s="56">
        <v>388</v>
      </c>
      <c r="AA52" s="56"/>
    </row>
    <row r="53" spans="23:27" ht="15" customHeight="1" x14ac:dyDescent="0.25">
      <c r="W53" s="1" t="s">
        <v>149</v>
      </c>
      <c r="X53" s="66">
        <v>42150.241970963485</v>
      </c>
      <c r="Y53" s="69">
        <v>49052.215884159719</v>
      </c>
      <c r="Z53" s="56">
        <v>4546</v>
      </c>
      <c r="AA53" s="56"/>
    </row>
    <row r="54" spans="23:27" ht="15" customHeight="1" x14ac:dyDescent="0.25">
      <c r="W54" s="1" t="s">
        <v>150</v>
      </c>
      <c r="X54" s="66">
        <v>42317.366871822313</v>
      </c>
      <c r="Y54" s="69">
        <v>49750.133191262656</v>
      </c>
      <c r="Z54" s="56">
        <v>3737</v>
      </c>
      <c r="AA54" s="56"/>
    </row>
    <row r="55" spans="23:27" ht="15" customHeight="1" x14ac:dyDescent="0.25">
      <c r="W55" s="1" t="s">
        <v>151</v>
      </c>
      <c r="X55" s="66">
        <v>32799.102132435466</v>
      </c>
      <c r="Y55" s="69">
        <v>36868.008948545867</v>
      </c>
      <c r="Z55" s="56">
        <v>891</v>
      </c>
      <c r="AA55" s="56"/>
    </row>
    <row r="56" spans="23:27" ht="15" customHeight="1" x14ac:dyDescent="0.25">
      <c r="W56" s="1" t="s">
        <v>152</v>
      </c>
      <c r="X56" s="66">
        <v>36158.532888754169</v>
      </c>
      <c r="Y56" s="69">
        <v>40189.524674538297</v>
      </c>
      <c r="Z56" s="56">
        <v>3299</v>
      </c>
      <c r="AA56" s="56"/>
    </row>
    <row r="57" spans="23:27" ht="15" customHeight="1" x14ac:dyDescent="0.25">
      <c r="W57" s="1" t="s">
        <v>153</v>
      </c>
      <c r="X57" s="66">
        <v>37578.48837209303</v>
      </c>
      <c r="Y57" s="69">
        <v>41347.82608695652</v>
      </c>
      <c r="Z57" s="56">
        <v>344</v>
      </c>
      <c r="AA57" s="56"/>
    </row>
  </sheetData>
  <mergeCells count="23">
    <mergeCell ref="S4:S5"/>
    <mergeCell ref="O19:R19"/>
    <mergeCell ref="AC4:AC5"/>
    <mergeCell ref="A2:T2"/>
    <mergeCell ref="B6:C6"/>
    <mergeCell ref="R3:S3"/>
    <mergeCell ref="K4:K5"/>
    <mergeCell ref="L4:L5"/>
    <mergeCell ref="W4:W5"/>
    <mergeCell ref="X4:X5"/>
    <mergeCell ref="AB4:AB5"/>
    <mergeCell ref="V4:V6"/>
    <mergeCell ref="Y4:Y5"/>
    <mergeCell ref="Z4:Z5"/>
    <mergeCell ref="N4:N5"/>
    <mergeCell ref="H4:I4"/>
    <mergeCell ref="A30:D30"/>
    <mergeCell ref="N21:R21"/>
    <mergeCell ref="N20:R20"/>
    <mergeCell ref="J4:J5"/>
    <mergeCell ref="R4:R5"/>
    <mergeCell ref="A28:D28"/>
    <mergeCell ref="A29:D29"/>
  </mergeCells>
  <hyperlinks>
    <hyperlink ref="A28" r:id="rId1" display="https://www.irs.gov/uac/soi-tax-stats-historic-table-2" xr:uid="{00000000-0004-0000-0500-000000000000}"/>
    <hyperlink ref="A29" r:id="rId2" display="http://www.nhpf.org/library/the-basics/Basics_LTSS_03-27-14.pdf" xr:uid="{89D95E7B-9A41-47D7-92B8-B826FE0C92A7}"/>
  </hyperlinks>
  <pageMargins left="0.7" right="0.7" top="0.75" bottom="0.75" header="0.3" footer="0.3"/>
  <pageSetup orientation="portrait" horizontalDpi="0" verticalDpi="0" r:id="rId3"/>
  <drawing r:id="rId4"/>
  <legacyDrawing r:id="rId5"/>
  <mc:AlternateContent xmlns:mc="http://schemas.openxmlformats.org/markup-compatibility/2006">
    <mc:Choice Requires="x14">
      <controls>
        <mc:AlternateContent xmlns:mc="http://schemas.openxmlformats.org/markup-compatibility/2006">
          <mc:Choice Requires="x14">
            <control shapeId="2049" r:id="rId6" name="Option Button 1">
              <controlPr defaultSize="0" autoFill="0" autoLine="0" autoPict="0">
                <anchor moveWithCells="1">
                  <from>
                    <xdr:col>1</xdr:col>
                    <xdr:colOff>19050</xdr:colOff>
                    <xdr:row>17</xdr:row>
                    <xdr:rowOff>0</xdr:rowOff>
                  </from>
                  <to>
                    <xdr:col>1</xdr:col>
                    <xdr:colOff>514350</xdr:colOff>
                    <xdr:row>17</xdr:row>
                    <xdr:rowOff>200025</xdr:rowOff>
                  </to>
                </anchor>
              </controlPr>
            </control>
          </mc:Choice>
        </mc:AlternateContent>
        <mc:AlternateContent xmlns:mc="http://schemas.openxmlformats.org/markup-compatibility/2006">
          <mc:Choice Requires="x14">
            <control shapeId="2050" r:id="rId7" name="Option Button 2">
              <controlPr defaultSize="0" autoFill="0" autoLine="0" autoPict="0">
                <anchor moveWithCells="1">
                  <from>
                    <xdr:col>1</xdr:col>
                    <xdr:colOff>466725</xdr:colOff>
                    <xdr:row>16</xdr:row>
                    <xdr:rowOff>171450</xdr:rowOff>
                  </from>
                  <to>
                    <xdr:col>1</xdr:col>
                    <xdr:colOff>962025</xdr:colOff>
                    <xdr:row>17</xdr:row>
                    <xdr:rowOff>209550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3"/>
  <sheetViews>
    <sheetView workbookViewId="0"/>
  </sheetViews>
  <sheetFormatPr defaultColWidth="9.140625" defaultRowHeight="12.75" x14ac:dyDescent="0.2"/>
  <cols>
    <col min="1" max="1" width="73.140625" style="97" customWidth="1"/>
    <col min="2" max="2" width="9.5703125" style="97" bestFit="1" customWidth="1"/>
    <col min="3" max="3" width="13.28515625" style="97" customWidth="1"/>
    <col min="4" max="16384" width="9.140625" style="97"/>
  </cols>
  <sheetData>
    <row r="1" spans="1:3" ht="18.75" x14ac:dyDescent="0.3">
      <c r="A1" s="247" t="str">
        <f>UPPER('I. Current &amp; Projected Spending'!$A$1)</f>
        <v>NEW YORK</v>
      </c>
    </row>
    <row r="2" spans="1:3" ht="36.75" customHeight="1" x14ac:dyDescent="0.2">
      <c r="A2" s="376" t="s">
        <v>54</v>
      </c>
      <c r="B2" s="377"/>
      <c r="C2" s="377"/>
    </row>
    <row r="3" spans="1:3" ht="20.25" x14ac:dyDescent="0.3">
      <c r="A3" s="181"/>
      <c r="B3" s="181"/>
      <c r="C3" s="182" t="str">
        <f>CONCATENATE('I. Current &amp; Projected Spending'!$D$5," $M")</f>
        <v>2021 $M</v>
      </c>
    </row>
    <row r="4" spans="1:3" ht="20.25" x14ac:dyDescent="0.3">
      <c r="A4" s="183" t="s">
        <v>55</v>
      </c>
      <c r="B4" s="181"/>
      <c r="C4" s="181"/>
    </row>
    <row r="5" spans="1:3" ht="20.25" x14ac:dyDescent="0.3">
      <c r="A5" s="181" t="s">
        <v>57</v>
      </c>
      <c r="B5" s="184">
        <f>C5/'I. Current &amp; Projected Spending'!$D$12</f>
        <v>1.7911652159810582E-2</v>
      </c>
      <c r="C5" s="267">
        <f>'III. Added Costs &amp; Net Savings'!$E$5</f>
        <v>4990.5363709269259</v>
      </c>
    </row>
    <row r="6" spans="1:3" ht="20.25" x14ac:dyDescent="0.3">
      <c r="A6" s="181" t="s">
        <v>56</v>
      </c>
      <c r="B6" s="184">
        <f>C6/'I. Current &amp; Projected Spending'!$D$12</f>
        <v>4.4779130399526454E-2</v>
      </c>
      <c r="C6" s="268">
        <f>'III. Added Costs &amp; Net Savings'!$E$8</f>
        <v>12476.340927317315</v>
      </c>
    </row>
    <row r="7" spans="1:3" ht="20.25" x14ac:dyDescent="0.3">
      <c r="A7" s="181" t="str">
        <f>IF('III. Added Costs &amp; Net Savings'!$E$10&gt;0,"  Enhanced Physician Fees &amp; Support for Displaced Workers","  Support for Displaced Workers")</f>
        <v xml:space="preserve">  Enhanced Physician Fees &amp; Support for Displaced Workers</v>
      </c>
      <c r="B7" s="185">
        <f>C7/'I. Current &amp; Projected Spending'!$D$12</f>
        <v>5.5770869900418435E-2</v>
      </c>
      <c r="C7" s="269">
        <f>'III. Added Costs &amp; Net Savings'!$E$10+'III. Added Costs &amp; Net Savings'!$E$13</f>
        <v>15538.854383336533</v>
      </c>
    </row>
    <row r="8" spans="1:3" ht="20.25" x14ac:dyDescent="0.3">
      <c r="A8" s="186" t="s">
        <v>58</v>
      </c>
      <c r="B8" s="187">
        <f>SUM(B5:B7)</f>
        <v>0.11846165245975547</v>
      </c>
      <c r="C8" s="270">
        <f>SUM(C5:C7)</f>
        <v>33005.731681580772</v>
      </c>
    </row>
    <row r="9" spans="1:3" ht="20.25" x14ac:dyDescent="0.3">
      <c r="A9" s="183" t="s">
        <v>1</v>
      </c>
      <c r="B9" s="181"/>
      <c r="C9" s="271"/>
    </row>
    <row r="10" spans="1:3" ht="20.25" x14ac:dyDescent="0.3">
      <c r="A10" s="181" t="s">
        <v>60</v>
      </c>
      <c r="B10" s="188">
        <f>C10/'I. Current &amp; Projected Spending'!$D$12</f>
        <v>8.209854174030165E-2</v>
      </c>
      <c r="C10" s="271">
        <f>'II. Savings'!$E$8+'II. Savings'!$E$7</f>
        <v>22874.258326339146</v>
      </c>
    </row>
    <row r="11" spans="1:3" ht="20.25" x14ac:dyDescent="0.3">
      <c r="A11" s="181" t="s">
        <v>59</v>
      </c>
      <c r="B11" s="188">
        <f>C11/'I. Current &amp; Projected Spending'!$D$12</f>
        <v>7.1944448901318556E-2</v>
      </c>
      <c r="C11" s="271">
        <f>'II. Savings'!$E$14</f>
        <v>20045.129601942921</v>
      </c>
    </row>
    <row r="12" spans="1:3" ht="20.25" x14ac:dyDescent="0.3">
      <c r="A12" s="181" t="s">
        <v>61</v>
      </c>
      <c r="B12" s="188">
        <f>C12/'I. Current &amp; Projected Spending'!$D$12</f>
        <v>6.2076329900125911E-2</v>
      </c>
      <c r="C12" s="272">
        <f>'II. Savings'!$E$16</f>
        <v>17295.67877804931</v>
      </c>
    </row>
    <row r="13" spans="1:3" ht="20.25" x14ac:dyDescent="0.3">
      <c r="A13" s="181" t="s">
        <v>62</v>
      </c>
      <c r="B13" s="185">
        <f>C13/'I. Current &amp; Projected Spending'!$D$12</f>
        <v>0.02</v>
      </c>
      <c r="C13" s="273">
        <f>'II. Savings'!$E$18</f>
        <v>5572.390895491465</v>
      </c>
    </row>
    <row r="14" spans="1:3" ht="20.25" x14ac:dyDescent="0.3">
      <c r="A14" s="186" t="s">
        <v>3</v>
      </c>
      <c r="B14" s="189">
        <f>SUM(B10:B13)</f>
        <v>0.23611932054174609</v>
      </c>
      <c r="C14" s="274">
        <f>SUM(C10:C13)</f>
        <v>65787.45760182284</v>
      </c>
    </row>
    <row r="15" spans="1:3" ht="20.25" x14ac:dyDescent="0.3">
      <c r="A15" s="186" t="s">
        <v>2</v>
      </c>
      <c r="B15" s="187">
        <f>B14-B8</f>
        <v>0.11765766808199062</v>
      </c>
      <c r="C15" s="275">
        <f>C14-C8</f>
        <v>32781.725920242068</v>
      </c>
    </row>
    <row r="16" spans="1:3" ht="20.25" x14ac:dyDescent="0.3">
      <c r="A16" s="181"/>
      <c r="B16" s="181"/>
      <c r="C16" s="271"/>
    </row>
    <row r="17" spans="1:3" ht="20.25" x14ac:dyDescent="0.3">
      <c r="A17" s="183" t="str">
        <f>IF('III. Added Costs &amp; Net Savings'!$I$63=1,"Cost of Covering Long-term Care","")</f>
        <v>Cost of Covering Long-term Care</v>
      </c>
      <c r="B17" s="181"/>
      <c r="C17" s="276">
        <f>IF('III. Added Costs &amp; Net Savings'!$I$63=1,'III. Added Costs &amp; Net Savings'!$E$23,"")</f>
        <v>22255.874590892898</v>
      </c>
    </row>
    <row r="18" spans="1:3" ht="20.25" x14ac:dyDescent="0.3">
      <c r="A18" s="186" t="str">
        <f>IF('III. Added Costs &amp; Net Savings'!$I$63=1,IF(C17&lt;C15,"Overall Savings","Overall Cost"),"")</f>
        <v>Overall Savings</v>
      </c>
      <c r="B18" s="181"/>
      <c r="C18" s="275">
        <f>IF('III. Added Costs &amp; Net Savings'!$I$63=1,IF(C17&lt;C15,C15-C17,C17-C15),"")</f>
        <v>10525.851329349171</v>
      </c>
    </row>
    <row r="19" spans="1:3" ht="20.25" x14ac:dyDescent="0.3">
      <c r="A19" s="181"/>
      <c r="B19" s="181"/>
      <c r="C19" s="181"/>
    </row>
    <row r="20" spans="1:3" x14ac:dyDescent="0.2">
      <c r="A20" s="190"/>
      <c r="B20" s="190"/>
      <c r="C20" s="190"/>
    </row>
    <row r="21" spans="1:3" x14ac:dyDescent="0.2">
      <c r="A21" s="190"/>
      <c r="B21" s="190"/>
      <c r="C21" s="190"/>
    </row>
    <row r="22" spans="1:3" x14ac:dyDescent="0.2">
      <c r="A22" s="190"/>
      <c r="B22" s="190"/>
      <c r="C22" s="190"/>
    </row>
    <row r="23" spans="1:3" x14ac:dyDescent="0.2">
      <c r="A23" s="190"/>
      <c r="B23" s="190"/>
      <c r="C23" s="190"/>
    </row>
  </sheetData>
  <sheetProtection sheet="1" objects="1" scenarios="1"/>
  <mergeCells count="1">
    <mergeCell ref="A2:C2"/>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Title</vt:lpstr>
      <vt:lpstr>Description</vt:lpstr>
      <vt:lpstr>Step-by-Step User Guide</vt:lpstr>
      <vt:lpstr>I. Current &amp; Projected Spending</vt:lpstr>
      <vt:lpstr>II. Savings</vt:lpstr>
      <vt:lpstr>III. Added Costs &amp; Net Savings</vt:lpstr>
      <vt:lpstr>IV(A). Financing by Income Tax</vt:lpstr>
      <vt:lpstr>IV(B). Financing by Payroll Tax</vt:lpstr>
      <vt:lpstr>V.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2017-09-15T15:50:37Z</cp:lastPrinted>
  <dcterms:created xsi:type="dcterms:W3CDTF">2017-07-07T19:32:33Z</dcterms:created>
  <dcterms:modified xsi:type="dcterms:W3CDTF">2017-10-30T21:02:51Z</dcterms:modified>
</cp:coreProperties>
</file>